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ucim\repositories\kalkulationstool\Output\Danwood_Beispiele_v7.03_20260914\"/>
    </mc:Choice>
  </mc:AlternateContent>
  <xr:revisionPtr revIDLastSave="0" documentId="13_ncr:1_{7DAF165A-F2B1-48AC-8093-715FD142378C}" xr6:coauthVersionLast="47" xr6:coauthVersionMax="47" xr10:uidLastSave="{00000000-0000-0000-0000-000000000000}"/>
  <workbookProtection workbookAlgorithmName="SHA-512" workbookHashValue="1mBj4YrsTBxQjFib1cMWUs32MMfO6foEUJR9UcYigIOVj3h5BMI62fXDHVhI6NlbHQKdA/CGESfpLJ5NqMnPqQ==" workbookSaltValue="FeQXtmAxr02qAWyfoSGBuw==" workbookSpinCount="100000" lockStructure="1"/>
  <bookViews>
    <workbookView xWindow="38280" yWindow="10515" windowWidth="29040" windowHeight="17520" activeTab="1" xr2:uid="{00000000-000D-0000-FFFF-FFFF00000000}"/>
  </bookViews>
  <sheets>
    <sheet name="Rechtliches" sheetId="1" r:id="rId1"/>
    <sheet name="Start" sheetId="9" r:id="rId2"/>
    <sheet name="Cockpit" sheetId="2" r:id="rId3"/>
    <sheet name="Report" sheetId="7" r:id="rId4"/>
    <sheet name="Jahresverlauf" sheetId="4" r:id="rId5"/>
    <sheet name="Konfiguration" sheetId="6" r:id="rId6"/>
  </sheets>
  <definedNames>
    <definedName name="_xlnm.Print_Area" localSheetId="2">Cockpit!$A$1:$L$55</definedName>
    <definedName name="_xlnm.Print_Area" localSheetId="4">Jahresverlauf!$A$1:$AC$40</definedName>
    <definedName name="_xlnm.Print_Area" localSheetId="5">Konfiguration!$A$1:$D$11</definedName>
    <definedName name="_xlnm.Print_Area" localSheetId="0">Rechtliches!$A$1:$M$34</definedName>
    <definedName name="_xlnm.Print_Area" localSheetId="3">Report!$A$1:$L$35</definedName>
    <definedName name="_xlnm.Print_Area" localSheetId="1">Start!$A$1:$M$78</definedName>
    <definedName name="_xlnm.Print_Titles" localSheetId="4">Jahresverlauf!$1:$4</definedName>
    <definedName name="Liste_AfaMethode">Konfiguration!$C$17:$C$18</definedName>
    <definedName name="Liste_JaNein">Konfiguration!$C$15:$C$16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1" i="7" l="1"/>
  <c r="K28" i="7"/>
  <c r="K30" i="7"/>
  <c r="K29" i="7"/>
  <c r="AC40" i="4"/>
  <c r="AC39" i="4"/>
  <c r="AC38" i="4"/>
  <c r="AC37" i="4"/>
  <c r="AC36" i="4"/>
  <c r="AC35" i="4"/>
  <c r="AC34" i="4"/>
  <c r="AC33" i="4"/>
  <c r="AC32" i="4"/>
  <c r="AC31" i="4"/>
  <c r="AC30" i="4"/>
  <c r="AC29" i="4"/>
  <c r="AC28" i="4"/>
  <c r="AC27" i="4"/>
  <c r="AC26" i="4"/>
  <c r="AC25" i="4"/>
  <c r="AC24" i="4"/>
  <c r="AC23" i="4"/>
  <c r="AC22" i="4"/>
  <c r="AC21" i="4"/>
  <c r="AC20" i="4"/>
  <c r="AC19" i="4"/>
  <c r="AC18" i="4"/>
  <c r="AC17" i="4"/>
  <c r="AC16" i="4"/>
  <c r="AC5" i="4"/>
  <c r="H31" i="7"/>
  <c r="K35" i="2"/>
  <c r="K20" i="2"/>
  <c r="F28" i="7"/>
  <c r="C30" i="7"/>
  <c r="C29" i="7"/>
  <c r="C28" i="7"/>
  <c r="Q40" i="4"/>
  <c r="Q39" i="4"/>
  <c r="Q38" i="4"/>
  <c r="Q37" i="4"/>
  <c r="Q36" i="4"/>
  <c r="Q35" i="4"/>
  <c r="Q34" i="4"/>
  <c r="Q33" i="4"/>
  <c r="Q32" i="4"/>
  <c r="Q31" i="4"/>
  <c r="Q30" i="4"/>
  <c r="Q29" i="4"/>
  <c r="Q28" i="4"/>
  <c r="Q27" i="4"/>
  <c r="Q26" i="4"/>
  <c r="Q25" i="4"/>
  <c r="Q24" i="4"/>
  <c r="Q23" i="4"/>
  <c r="Q22" i="4"/>
  <c r="Q21" i="4"/>
  <c r="Q20" i="4"/>
  <c r="Q19" i="4"/>
  <c r="Q18" i="4"/>
  <c r="K15" i="2"/>
  <c r="K38" i="2"/>
  <c r="L36" i="2"/>
  <c r="U6" i="4"/>
  <c r="V6" i="4" s="1"/>
  <c r="F37" i="2"/>
  <c r="F44" i="2" s="1"/>
  <c r="C14" i="2"/>
  <c r="C15" i="2" s="1"/>
  <c r="C5" i="7" s="1"/>
  <c r="K3" i="7"/>
  <c r="B3" i="7"/>
  <c r="I6" i="7"/>
  <c r="F6" i="7"/>
  <c r="F5" i="7"/>
  <c r="R40" i="4"/>
  <c r="R39" i="4"/>
  <c r="R38" i="4"/>
  <c r="R37" i="4"/>
  <c r="R36" i="4"/>
  <c r="R35" i="4"/>
  <c r="R34" i="4"/>
  <c r="R33" i="4"/>
  <c r="R32" i="4"/>
  <c r="R31" i="4"/>
  <c r="R30" i="4"/>
  <c r="R29" i="4"/>
  <c r="R28" i="4"/>
  <c r="R27" i="4"/>
  <c r="R26" i="4"/>
  <c r="R25" i="4"/>
  <c r="R24" i="4"/>
  <c r="R23" i="4"/>
  <c r="R22" i="4"/>
  <c r="R21" i="4"/>
  <c r="R20" i="4"/>
  <c r="R19" i="4"/>
  <c r="R18" i="4"/>
  <c r="R17" i="4"/>
  <c r="R16" i="4"/>
  <c r="R15" i="4"/>
  <c r="R14" i="4"/>
  <c r="R13" i="4"/>
  <c r="R12" i="4"/>
  <c r="R11" i="4"/>
  <c r="R10" i="4"/>
  <c r="W6" i="4"/>
  <c r="T6" i="4"/>
  <c r="P6" i="4" s="1"/>
  <c r="Q5" i="4"/>
  <c r="C50" i="2"/>
  <c r="C36" i="2"/>
  <c r="C8" i="7" s="1"/>
  <c r="F33" i="2"/>
  <c r="C30" i="2"/>
  <c r="C7" i="7" s="1"/>
  <c r="C25" i="2"/>
  <c r="C6" i="7" s="1"/>
  <c r="I22" i="2"/>
  <c r="C12" i="4" s="1"/>
  <c r="F17" i="2"/>
  <c r="I14" i="2"/>
  <c r="I17" i="2" s="1"/>
  <c r="I32" i="2" s="1"/>
  <c r="C16" i="4" l="1"/>
  <c r="C17" i="4"/>
  <c r="C31" i="4"/>
  <c r="C30" i="4"/>
  <c r="C14" i="4"/>
  <c r="C15" i="4"/>
  <c r="C13" i="4"/>
  <c r="C38" i="4"/>
  <c r="C32" i="4"/>
  <c r="C34" i="4"/>
  <c r="C35" i="4"/>
  <c r="C36" i="4"/>
  <c r="C37" i="4"/>
  <c r="C33" i="4"/>
  <c r="C18" i="4"/>
  <c r="C25" i="4"/>
  <c r="C26" i="4"/>
  <c r="C27" i="4"/>
  <c r="C28" i="4"/>
  <c r="C29" i="4"/>
  <c r="L5" i="7"/>
  <c r="F29" i="7"/>
  <c r="C6" i="4"/>
  <c r="F30" i="7" s="1"/>
  <c r="L30" i="2"/>
  <c r="C7" i="4"/>
  <c r="C19" i="4"/>
  <c r="C20" i="4"/>
  <c r="C21" i="4"/>
  <c r="C22" i="4"/>
  <c r="C23" i="4"/>
  <c r="C24" i="4"/>
  <c r="C8" i="4"/>
  <c r="C40" i="4"/>
  <c r="C9" i="4"/>
  <c r="C10" i="4"/>
  <c r="C11" i="4"/>
  <c r="C39" i="4"/>
  <c r="L9" i="2"/>
  <c r="F38" i="2"/>
  <c r="F39" i="2" s="1"/>
  <c r="C49" i="2" s="1"/>
  <c r="U7" i="4"/>
  <c r="V7" i="4" s="1"/>
  <c r="I9" i="7"/>
  <c r="I5" i="7"/>
  <c r="I7" i="7"/>
  <c r="T7" i="4"/>
  <c r="P7" i="4" s="1"/>
  <c r="B34" i="4"/>
  <c r="B18" i="4"/>
  <c r="B13" i="4"/>
  <c r="B29" i="4"/>
  <c r="B8" i="4"/>
  <c r="B40" i="4"/>
  <c r="B24" i="4"/>
  <c r="B35" i="4"/>
  <c r="B19" i="4"/>
  <c r="B25" i="4"/>
  <c r="B9" i="4"/>
  <c r="B10" i="4"/>
  <c r="B15" i="4"/>
  <c r="B38" i="4"/>
  <c r="B31" i="4"/>
  <c r="B7" i="4"/>
  <c r="B12" i="4"/>
  <c r="B36" i="4"/>
  <c r="B17" i="4"/>
  <c r="B22" i="4"/>
  <c r="B39" i="4"/>
  <c r="B32" i="4"/>
  <c r="B11" i="4"/>
  <c r="B14" i="4"/>
  <c r="B6" i="4"/>
  <c r="B21" i="4"/>
  <c r="B30" i="4"/>
  <c r="B26" i="4"/>
  <c r="B27" i="4"/>
  <c r="B33" i="4"/>
  <c r="B16" i="4"/>
  <c r="B37" i="4"/>
  <c r="B23" i="4"/>
  <c r="B20" i="4"/>
  <c r="B28" i="4"/>
  <c r="X6" i="4"/>
  <c r="C38" i="2"/>
  <c r="L22" i="2" s="1"/>
  <c r="D8" i="4" l="1"/>
  <c r="D14" i="4"/>
  <c r="D25" i="4"/>
  <c r="D24" i="4"/>
  <c r="D26" i="4"/>
  <c r="D30" i="4"/>
  <c r="D22" i="4"/>
  <c r="D7" i="4"/>
  <c r="D19" i="4"/>
  <c r="D35" i="4"/>
  <c r="D28" i="4"/>
  <c r="D33" i="4"/>
  <c r="D17" i="4"/>
  <c r="D31" i="4"/>
  <c r="D10" i="4"/>
  <c r="D13" i="4"/>
  <c r="D20" i="4"/>
  <c r="D18" i="4"/>
  <c r="D23" i="4"/>
  <c r="D37" i="4"/>
  <c r="D16" i="4"/>
  <c r="D27" i="4"/>
  <c r="D21" i="4"/>
  <c r="D39" i="4"/>
  <c r="D36" i="4"/>
  <c r="D38" i="4"/>
  <c r="D9" i="4"/>
  <c r="D40" i="4"/>
  <c r="D29" i="4"/>
  <c r="D34" i="4"/>
  <c r="D11" i="4"/>
  <c r="D32" i="4"/>
  <c r="D12" i="4"/>
  <c r="N11" i="4"/>
  <c r="N39" i="4"/>
  <c r="N36" i="4"/>
  <c r="N32" i="4"/>
  <c r="N30" i="4"/>
  <c r="N27" i="4"/>
  <c r="N19" i="4"/>
  <c r="N18" i="4"/>
  <c r="N10" i="4"/>
  <c r="N9" i="4"/>
  <c r="N40" i="4"/>
  <c r="N8" i="4"/>
  <c r="N7" i="4"/>
  <c r="N35" i="4"/>
  <c r="N34" i="4"/>
  <c r="N33" i="4"/>
  <c r="N28" i="4"/>
  <c r="N20" i="4"/>
  <c r="N38" i="4"/>
  <c r="N6" i="4"/>
  <c r="N31" i="4"/>
  <c r="N29" i="4"/>
  <c r="N21" i="4"/>
  <c r="N17" i="4"/>
  <c r="N16" i="4"/>
  <c r="N15" i="4"/>
  <c r="N14" i="4"/>
  <c r="N13" i="4"/>
  <c r="N37" i="4"/>
  <c r="N22" i="4"/>
  <c r="N12" i="4"/>
  <c r="N26" i="4"/>
  <c r="N25" i="4"/>
  <c r="N24" i="4"/>
  <c r="N23" i="4"/>
  <c r="L24" i="2"/>
  <c r="D15" i="4"/>
  <c r="L27" i="2"/>
  <c r="D6" i="4"/>
  <c r="L7" i="7" s="1"/>
  <c r="U8" i="4"/>
  <c r="V8" i="4" s="1"/>
  <c r="F9" i="7"/>
  <c r="C9" i="7"/>
  <c r="T8" i="4"/>
  <c r="P8" i="4" s="1"/>
  <c r="T9" i="4" s="1"/>
  <c r="P9" i="4" s="1"/>
  <c r="C51" i="2"/>
  <c r="F10" i="2"/>
  <c r="F11" i="2" s="1"/>
  <c r="I28" i="7"/>
  <c r="Y6" i="4"/>
  <c r="R8" i="4"/>
  <c r="R6" i="4"/>
  <c r="S6" i="4" s="1"/>
  <c r="R9" i="4"/>
  <c r="R7" i="4"/>
  <c r="L28" i="2" l="1"/>
  <c r="L28" i="7" s="1"/>
  <c r="U9" i="4"/>
  <c r="V9" i="4" s="1"/>
  <c r="T10" i="4"/>
  <c r="P10" i="4" s="1"/>
  <c r="O6" i="4"/>
  <c r="S7" i="4" s="1"/>
  <c r="W7" i="4"/>
  <c r="C52" i="2"/>
  <c r="F20" i="2"/>
  <c r="F7" i="7" s="1"/>
  <c r="L32" i="2" l="1"/>
  <c r="U10" i="4"/>
  <c r="V10" i="4" s="1"/>
  <c r="U11" i="4" s="1"/>
  <c r="V11" i="4" s="1"/>
  <c r="U12" i="4" s="1"/>
  <c r="H7" i="4"/>
  <c r="T11" i="4"/>
  <c r="P11" i="4" s="1"/>
  <c r="Z6" i="4"/>
  <c r="E6" i="4" s="1"/>
  <c r="F27" i="2"/>
  <c r="F23" i="2"/>
  <c r="X7" i="4"/>
  <c r="H6" i="4"/>
  <c r="V12" i="4" l="1"/>
  <c r="U13" i="4" s="1"/>
  <c r="T12" i="4"/>
  <c r="P12" i="4" s="1"/>
  <c r="AA6" i="4"/>
  <c r="F26" i="2"/>
  <c r="O7" i="4"/>
  <c r="S8" i="4" s="1"/>
  <c r="Y7" i="4"/>
  <c r="I6" i="4"/>
  <c r="J6" i="4" s="1"/>
  <c r="L6" i="7" s="1"/>
  <c r="T13" i="4" l="1"/>
  <c r="P13" i="4" s="1"/>
  <c r="V13" i="4"/>
  <c r="U14" i="4" s="1"/>
  <c r="W8" i="4"/>
  <c r="H8" i="4"/>
  <c r="F6" i="4"/>
  <c r="L8" i="7" s="1"/>
  <c r="AB6" i="4"/>
  <c r="G6" i="4" l="1"/>
  <c r="V14" i="4"/>
  <c r="U15" i="4" s="1"/>
  <c r="T14" i="4"/>
  <c r="P14" i="4" s="1"/>
  <c r="Z7" i="4"/>
  <c r="M6" i="4"/>
  <c r="O8" i="4"/>
  <c r="S9" i="4" s="1"/>
  <c r="X8" i="4"/>
  <c r="T15" i="4" l="1"/>
  <c r="P15" i="4" s="1"/>
  <c r="V15" i="4"/>
  <c r="U16" i="4" s="1"/>
  <c r="L10" i="2"/>
  <c r="K6" i="4"/>
  <c r="Y8" i="4"/>
  <c r="H9" i="4"/>
  <c r="E7" i="4"/>
  <c r="AA7" i="4"/>
  <c r="L9" i="7" l="1"/>
  <c r="AC6" i="4"/>
  <c r="Q6" i="4"/>
  <c r="L12" i="2"/>
  <c r="L13" i="2" s="1"/>
  <c r="I29" i="7" s="1"/>
  <c r="V16" i="4"/>
  <c r="U17" i="4" s="1"/>
  <c r="T16" i="4"/>
  <c r="P16" i="4" s="1"/>
  <c r="O9" i="4"/>
  <c r="S10" i="4" s="1"/>
  <c r="F7" i="4"/>
  <c r="G7" i="4" s="1"/>
  <c r="AB7" i="4"/>
  <c r="I7" i="4"/>
  <c r="J7" i="4" s="1"/>
  <c r="W9" i="4"/>
  <c r="L11" i="2"/>
  <c r="I30" i="7" s="1"/>
  <c r="L6" i="4"/>
  <c r="K7" i="4" l="1"/>
  <c r="V17" i="4"/>
  <c r="U18" i="4" s="1"/>
  <c r="T17" i="4"/>
  <c r="P17" i="4" s="1"/>
  <c r="X9" i="4"/>
  <c r="Z8" i="4"/>
  <c r="M7" i="4"/>
  <c r="H10" i="4"/>
  <c r="Q7" i="4" l="1"/>
  <c r="AC7" i="4"/>
  <c r="L7" i="4"/>
  <c r="T18" i="4"/>
  <c r="P18" i="4" s="1"/>
  <c r="V18" i="4"/>
  <c r="U19" i="4" s="1"/>
  <c r="O10" i="4"/>
  <c r="S11" i="4" s="1"/>
  <c r="AA8" i="4"/>
  <c r="E8" i="4"/>
  <c r="Y9" i="4"/>
  <c r="T19" i="4" l="1"/>
  <c r="P19" i="4" s="1"/>
  <c r="F8" i="4"/>
  <c r="G8" i="4" s="1"/>
  <c r="AB8" i="4"/>
  <c r="V19" i="4"/>
  <c r="U20" i="4" s="1"/>
  <c r="W10" i="4"/>
  <c r="H11" i="4"/>
  <c r="I8" i="4"/>
  <c r="J8" i="4" s="1"/>
  <c r="K8" i="4" l="1"/>
  <c r="V20" i="4"/>
  <c r="U21" i="4" s="1"/>
  <c r="O11" i="4"/>
  <c r="S12" i="4" s="1"/>
  <c r="X10" i="4"/>
  <c r="Z9" i="4"/>
  <c r="M8" i="4"/>
  <c r="T20" i="4"/>
  <c r="P20" i="4" s="1"/>
  <c r="Q8" i="4" l="1"/>
  <c r="AC8" i="4"/>
  <c r="L8" i="4"/>
  <c r="T21" i="4"/>
  <c r="P21" i="4" s="1"/>
  <c r="V21" i="4"/>
  <c r="U22" i="4" s="1"/>
  <c r="AA9" i="4"/>
  <c r="E9" i="4"/>
  <c r="Y10" i="4"/>
  <c r="H12" i="4"/>
  <c r="V22" i="4" l="1"/>
  <c r="U23" i="4" s="1"/>
  <c r="T22" i="4"/>
  <c r="P22" i="4" s="1"/>
  <c r="O12" i="4"/>
  <c r="S13" i="4" s="1"/>
  <c r="W11" i="4"/>
  <c r="F9" i="4"/>
  <c r="G9" i="4" s="1"/>
  <c r="AB9" i="4"/>
  <c r="I9" i="4"/>
  <c r="J9" i="4" s="1"/>
  <c r="K9" i="4" l="1"/>
  <c r="V23" i="4"/>
  <c r="U24" i="4" s="1"/>
  <c r="T23" i="4"/>
  <c r="P23" i="4" s="1"/>
  <c r="Z10" i="4"/>
  <c r="M9" i="4"/>
  <c r="X11" i="4"/>
  <c r="H13" i="4"/>
  <c r="Q9" i="4" l="1"/>
  <c r="AC9" i="4"/>
  <c r="L9" i="4"/>
  <c r="T24" i="4"/>
  <c r="P24" i="4" s="1"/>
  <c r="V24" i="4"/>
  <c r="U25" i="4" s="1"/>
  <c r="O13" i="4"/>
  <c r="S14" i="4" s="1"/>
  <c r="AA10" i="4"/>
  <c r="E10" i="4"/>
  <c r="Y11" i="4"/>
  <c r="V25" i="4" l="1"/>
  <c r="U26" i="4" s="1"/>
  <c r="T25" i="4"/>
  <c r="P25" i="4" s="1"/>
  <c r="H14" i="4"/>
  <c r="I10" i="4"/>
  <c r="J10" i="4" s="1"/>
  <c r="W12" i="4"/>
  <c r="F10" i="4"/>
  <c r="G10" i="4" s="1"/>
  <c r="AB10" i="4"/>
  <c r="K10" i="4" l="1"/>
  <c r="T26" i="4"/>
  <c r="P26" i="4" s="1"/>
  <c r="V26" i="4"/>
  <c r="U27" i="4" s="1"/>
  <c r="X12" i="4"/>
  <c r="Z11" i="4"/>
  <c r="M10" i="4"/>
  <c r="O14" i="4"/>
  <c r="S15" i="4" s="1"/>
  <c r="Q10" i="4" l="1"/>
  <c r="AC10" i="4"/>
  <c r="L10" i="4"/>
  <c r="V27" i="4"/>
  <c r="U28" i="4" s="1"/>
  <c r="T27" i="4"/>
  <c r="P27" i="4" s="1"/>
  <c r="H15" i="4"/>
  <c r="AA11" i="4"/>
  <c r="E11" i="4"/>
  <c r="Y12" i="4"/>
  <c r="V28" i="4" l="1"/>
  <c r="U29" i="4" s="1"/>
  <c r="I11" i="4"/>
  <c r="J11" i="4" s="1"/>
  <c r="O15" i="4"/>
  <c r="S16" i="4" s="1"/>
  <c r="W13" i="4"/>
  <c r="T28" i="4"/>
  <c r="P28" i="4" s="1"/>
  <c r="F11" i="4"/>
  <c r="G11" i="4" s="1"/>
  <c r="AB11" i="4"/>
  <c r="K11" i="4" l="1"/>
  <c r="T29" i="4"/>
  <c r="P29" i="4" s="1"/>
  <c r="V29" i="4"/>
  <c r="U30" i="4" s="1"/>
  <c r="Z12" i="4"/>
  <c r="M11" i="4"/>
  <c r="X13" i="4"/>
  <c r="H16" i="4"/>
  <c r="Q11" i="4" l="1"/>
  <c r="AC11" i="4"/>
  <c r="L11" i="4"/>
  <c r="V30" i="4"/>
  <c r="U31" i="4" s="1"/>
  <c r="T30" i="4"/>
  <c r="P30" i="4" s="1"/>
  <c r="Y13" i="4"/>
  <c r="O16" i="4"/>
  <c r="S17" i="4" s="1"/>
  <c r="AA12" i="4"/>
  <c r="E12" i="4"/>
  <c r="V31" i="4" l="1"/>
  <c r="U32" i="4" s="1"/>
  <c r="I12" i="4"/>
  <c r="J12" i="4" s="1"/>
  <c r="W14" i="4"/>
  <c r="T31" i="4"/>
  <c r="P31" i="4" s="1"/>
  <c r="F12" i="4"/>
  <c r="AB12" i="4"/>
  <c r="H17" i="4"/>
  <c r="G12" i="4" l="1"/>
  <c r="K12" i="4" s="1"/>
  <c r="AC12" i="4" s="1"/>
  <c r="T32" i="4"/>
  <c r="P32" i="4" s="1"/>
  <c r="V32" i="4"/>
  <c r="U33" i="4" s="1"/>
  <c r="O17" i="4"/>
  <c r="S18" i="4" s="1"/>
  <c r="Z13" i="4"/>
  <c r="M12" i="4"/>
  <c r="X14" i="4"/>
  <c r="Q12" i="4" l="1"/>
  <c r="L12" i="4"/>
  <c r="V33" i="4"/>
  <c r="U34" i="4" s="1"/>
  <c r="Y14" i="4"/>
  <c r="AA13" i="4"/>
  <c r="E13" i="4"/>
  <c r="H18" i="4"/>
  <c r="T33" i="4"/>
  <c r="P33" i="4" s="1"/>
  <c r="V34" i="4" l="1"/>
  <c r="U35" i="4" s="1"/>
  <c r="T34" i="4"/>
  <c r="P34" i="4" s="1"/>
  <c r="O18" i="4"/>
  <c r="S19" i="4" s="1"/>
  <c r="I13" i="4"/>
  <c r="J13" i="4" s="1"/>
  <c r="W15" i="4"/>
  <c r="F13" i="4"/>
  <c r="G13" i="4" s="1"/>
  <c r="AB13" i="4"/>
  <c r="K13" i="4" l="1"/>
  <c r="V35" i="4"/>
  <c r="U36" i="4" s="1"/>
  <c r="Z14" i="4"/>
  <c r="M13" i="4"/>
  <c r="H19" i="4"/>
  <c r="T35" i="4"/>
  <c r="P35" i="4" s="1"/>
  <c r="X15" i="4"/>
  <c r="Q13" i="4" l="1"/>
  <c r="AC13" i="4"/>
  <c r="L13" i="4"/>
  <c r="T36" i="4"/>
  <c r="P36" i="4" s="1"/>
  <c r="V36" i="4"/>
  <c r="U37" i="4" s="1"/>
  <c r="O19" i="4"/>
  <c r="S20" i="4" s="1"/>
  <c r="AA14" i="4"/>
  <c r="E14" i="4"/>
  <c r="Y15" i="4"/>
  <c r="V37" i="4" l="1"/>
  <c r="U38" i="4" s="1"/>
  <c r="T37" i="4"/>
  <c r="P37" i="4" s="1"/>
  <c r="H20" i="4"/>
  <c r="I14" i="4"/>
  <c r="J14" i="4" s="1"/>
  <c r="W16" i="4"/>
  <c r="F14" i="4"/>
  <c r="G14" i="4" s="1"/>
  <c r="AB14" i="4"/>
  <c r="K14" i="4" l="1"/>
  <c r="T38" i="4"/>
  <c r="P38" i="4" s="1"/>
  <c r="Z15" i="4"/>
  <c r="M14" i="4"/>
  <c r="X16" i="4"/>
  <c r="O20" i="4"/>
  <c r="S21" i="4" s="1"/>
  <c r="V38" i="4"/>
  <c r="U39" i="4" s="1"/>
  <c r="AC14" i="4" l="1"/>
  <c r="L14" i="4"/>
  <c r="V39" i="4"/>
  <c r="U40" i="4" s="1"/>
  <c r="H21" i="4"/>
  <c r="Y16" i="4"/>
  <c r="AA15" i="4"/>
  <c r="E15" i="4"/>
  <c r="T39" i="4"/>
  <c r="P39" i="4" s="1"/>
  <c r="T40" i="4" l="1"/>
  <c r="P40" i="4" s="1"/>
  <c r="F15" i="4"/>
  <c r="G15" i="4" s="1"/>
  <c r="AB15" i="4"/>
  <c r="I15" i="4"/>
  <c r="J15" i="4" s="1"/>
  <c r="V40" i="4"/>
  <c r="W17" i="4"/>
  <c r="O21" i="4"/>
  <c r="S22" i="4" s="1"/>
  <c r="K15" i="4" l="1"/>
  <c r="AC15" i="4" s="1"/>
  <c r="H22" i="4"/>
  <c r="X17" i="4"/>
  <c r="Z16" i="4"/>
  <c r="M15" i="4"/>
  <c r="L31" i="2" s="1"/>
  <c r="L33" i="2" l="1"/>
  <c r="Q14" i="4" s="1"/>
  <c r="L29" i="7"/>
  <c r="L30" i="7" s="1"/>
  <c r="L15" i="4"/>
  <c r="L16" i="2" s="1"/>
  <c r="AA16" i="4"/>
  <c r="E16" i="4"/>
  <c r="Y17" i="4"/>
  <c r="O22" i="4"/>
  <c r="S23" i="4" s="1"/>
  <c r="Q15" i="4" l="1"/>
  <c r="Q17" i="4"/>
  <c r="Q16" i="4"/>
  <c r="L35" i="2"/>
  <c r="L38" i="2" s="1"/>
  <c r="L40" i="2" s="1"/>
  <c r="L17" i="2"/>
  <c r="L18" i="2" s="1"/>
  <c r="W18" i="4"/>
  <c r="I16" i="4"/>
  <c r="J16" i="4" s="1"/>
  <c r="F16" i="4"/>
  <c r="G16" i="4" s="1"/>
  <c r="AB16" i="4"/>
  <c r="H23" i="4"/>
  <c r="L39" i="2" l="1"/>
  <c r="K16" i="4"/>
  <c r="L16" i="4" s="1"/>
  <c r="O23" i="4"/>
  <c r="S24" i="4" s="1"/>
  <c r="X18" i="4"/>
  <c r="Z17" i="4"/>
  <c r="M16" i="4"/>
  <c r="Y18" i="4" l="1"/>
  <c r="H24" i="4"/>
  <c r="AA17" i="4"/>
  <c r="E17" i="4"/>
  <c r="F17" i="4" l="1"/>
  <c r="G17" i="4" s="1"/>
  <c r="AB17" i="4"/>
  <c r="O24" i="4"/>
  <c r="S25" i="4" s="1"/>
  <c r="I17" i="4"/>
  <c r="J17" i="4" s="1"/>
  <c r="W19" i="4"/>
  <c r="K17" i="4" l="1"/>
  <c r="L17" i="4" s="1"/>
  <c r="H25" i="4"/>
  <c r="X19" i="4"/>
  <c r="Z18" i="4"/>
  <c r="M17" i="4"/>
  <c r="AA18" i="4" l="1"/>
  <c r="E18" i="4"/>
  <c r="Y19" i="4"/>
  <c r="O25" i="4"/>
  <c r="S26" i="4" s="1"/>
  <c r="H26" i="4" l="1"/>
  <c r="I18" i="4"/>
  <c r="J18" i="4" s="1"/>
  <c r="W20" i="4"/>
  <c r="F18" i="4"/>
  <c r="G18" i="4" s="1"/>
  <c r="AB18" i="4"/>
  <c r="K18" i="4" l="1"/>
  <c r="Z19" i="4"/>
  <c r="M18" i="4"/>
  <c r="X20" i="4"/>
  <c r="O26" i="4"/>
  <c r="S27" i="4" s="1"/>
  <c r="L18" i="4" l="1"/>
  <c r="H27" i="4"/>
  <c r="Y20" i="4"/>
  <c r="AA19" i="4"/>
  <c r="E19" i="4"/>
  <c r="F19" i="4" l="1"/>
  <c r="G19" i="4" s="1"/>
  <c r="AB19" i="4"/>
  <c r="I19" i="4"/>
  <c r="J19" i="4" s="1"/>
  <c r="W21" i="4"/>
  <c r="O27" i="4"/>
  <c r="S28" i="4" s="1"/>
  <c r="K19" i="4" l="1"/>
  <c r="X21" i="4"/>
  <c r="H28" i="4"/>
  <c r="Z20" i="4"/>
  <c r="M19" i="4"/>
  <c r="L19" i="4" l="1"/>
  <c r="O28" i="4"/>
  <c r="AA20" i="4"/>
  <c r="E20" i="4"/>
  <c r="Y21" i="4"/>
  <c r="S29" i="4" l="1"/>
  <c r="H29" i="4" s="1"/>
  <c r="W22" i="4"/>
  <c r="F20" i="4"/>
  <c r="G20" i="4" s="1"/>
  <c r="AB20" i="4"/>
  <c r="I20" i="4"/>
  <c r="J20" i="4" s="1"/>
  <c r="O29" i="4" l="1"/>
  <c r="S30" i="4" s="1"/>
  <c r="H30" i="4" s="1"/>
  <c r="K20" i="4"/>
  <c r="Z21" i="4"/>
  <c r="M20" i="4"/>
  <c r="X22" i="4"/>
  <c r="L20" i="4" l="1"/>
  <c r="O30" i="4"/>
  <c r="S31" i="4" s="1"/>
  <c r="Y22" i="4"/>
  <c r="AA21" i="4"/>
  <c r="E21" i="4"/>
  <c r="I21" i="4" l="1"/>
  <c r="J21" i="4" s="1"/>
  <c r="H31" i="4"/>
  <c r="W23" i="4"/>
  <c r="F21" i="4"/>
  <c r="AB21" i="4"/>
  <c r="G21" i="4" l="1"/>
  <c r="K21" i="4" s="1"/>
  <c r="L21" i="4" s="1"/>
  <c r="Z22" i="4"/>
  <c r="M21" i="4"/>
  <c r="X23" i="4"/>
  <c r="O31" i="4"/>
  <c r="S32" i="4" s="1"/>
  <c r="H32" i="4" l="1"/>
  <c r="AA22" i="4"/>
  <c r="E22" i="4"/>
  <c r="Y23" i="4"/>
  <c r="W24" i="4" l="1"/>
  <c r="I22" i="4"/>
  <c r="J22" i="4" s="1"/>
  <c r="F22" i="4"/>
  <c r="G22" i="4" s="1"/>
  <c r="AB22" i="4"/>
  <c r="O32" i="4"/>
  <c r="S33" i="4" s="1"/>
  <c r="K22" i="4" l="1"/>
  <c r="H33" i="4"/>
  <c r="Z23" i="4"/>
  <c r="M22" i="4"/>
  <c r="X24" i="4"/>
  <c r="L22" i="4" l="1"/>
  <c r="AA23" i="4"/>
  <c r="E23" i="4"/>
  <c r="O33" i="4"/>
  <c r="S34" i="4" s="1"/>
  <c r="Y24" i="4"/>
  <c r="W25" i="4" l="1"/>
  <c r="H34" i="4"/>
  <c r="I23" i="4"/>
  <c r="J23" i="4" s="1"/>
  <c r="F23" i="4"/>
  <c r="G23" i="4" s="1"/>
  <c r="AB23" i="4"/>
  <c r="K23" i="4" l="1"/>
  <c r="L23" i="4" s="1"/>
  <c r="Z24" i="4"/>
  <c r="M23" i="4"/>
  <c r="X25" i="4"/>
  <c r="O34" i="4"/>
  <c r="S35" i="4" s="1"/>
  <c r="H35" i="4" l="1"/>
  <c r="Y25" i="4"/>
  <c r="AA24" i="4"/>
  <c r="E24" i="4"/>
  <c r="O35" i="4" l="1"/>
  <c r="I24" i="4"/>
  <c r="J24" i="4" s="1"/>
  <c r="F24" i="4"/>
  <c r="G24" i="4" s="1"/>
  <c r="AB24" i="4"/>
  <c r="W26" i="4"/>
  <c r="S36" i="4" l="1"/>
  <c r="H36" i="4" s="1"/>
  <c r="K24" i="4"/>
  <c r="L24" i="4" s="1"/>
  <c r="Z25" i="4"/>
  <c r="M24" i="4"/>
  <c r="X26" i="4"/>
  <c r="O36" i="4" l="1"/>
  <c r="S37" i="4" s="1"/>
  <c r="H37" i="4" s="1"/>
  <c r="Y26" i="4"/>
  <c r="AA25" i="4"/>
  <c r="E25" i="4"/>
  <c r="I25" i="4" l="1"/>
  <c r="J25" i="4" s="1"/>
  <c r="F25" i="4"/>
  <c r="G25" i="4" s="1"/>
  <c r="AB25" i="4"/>
  <c r="W27" i="4"/>
  <c r="O37" i="4"/>
  <c r="S38" i="4" s="1"/>
  <c r="K25" i="4" l="1"/>
  <c r="L25" i="4" s="1"/>
  <c r="X27" i="4"/>
  <c r="H38" i="4"/>
  <c r="Z26" i="4"/>
  <c r="M25" i="4"/>
  <c r="Y27" i="4" l="1"/>
  <c r="AA26" i="4"/>
  <c r="E26" i="4"/>
  <c r="O38" i="4"/>
  <c r="S39" i="4" s="1"/>
  <c r="F26" i="4" l="1"/>
  <c r="G26" i="4" s="1"/>
  <c r="AB26" i="4"/>
  <c r="H39" i="4"/>
  <c r="I26" i="4"/>
  <c r="J26" i="4" s="1"/>
  <c r="W28" i="4"/>
  <c r="K26" i="4" l="1"/>
  <c r="O39" i="4"/>
  <c r="S40" i="4" s="1"/>
  <c r="X28" i="4"/>
  <c r="Z27" i="4"/>
  <c r="M26" i="4"/>
  <c r="L26" i="4" l="1"/>
  <c r="AA27" i="4"/>
  <c r="E27" i="4"/>
  <c r="H40" i="4"/>
  <c r="Y28" i="4"/>
  <c r="W29" i="4" l="1"/>
  <c r="O40" i="4"/>
  <c r="I27" i="4"/>
  <c r="J27" i="4" s="1"/>
  <c r="F27" i="4"/>
  <c r="G27" i="4" s="1"/>
  <c r="AB27" i="4"/>
  <c r="K27" i="4" l="1"/>
  <c r="L27" i="4" s="1"/>
  <c r="Z28" i="4"/>
  <c r="M27" i="4"/>
  <c r="X29" i="4"/>
  <c r="Y29" i="4" l="1"/>
  <c r="AA28" i="4"/>
  <c r="E28" i="4"/>
  <c r="I28" i="4" l="1"/>
  <c r="J28" i="4" s="1"/>
  <c r="W30" i="4"/>
  <c r="F28" i="4"/>
  <c r="G28" i="4" s="1"/>
  <c r="AB28" i="4"/>
  <c r="K28" i="4" l="1"/>
  <c r="L28" i="4" s="1"/>
  <c r="Z29" i="4"/>
  <c r="M28" i="4"/>
  <c r="X30" i="4"/>
  <c r="Y30" i="4" l="1"/>
  <c r="AA29" i="4"/>
  <c r="E29" i="4"/>
  <c r="W31" i="4" l="1"/>
  <c r="F29" i="4"/>
  <c r="G29" i="4" s="1"/>
  <c r="AB29" i="4"/>
  <c r="I29" i="4"/>
  <c r="J29" i="4" s="1"/>
  <c r="Z30" i="4" l="1"/>
  <c r="M29" i="4"/>
  <c r="K29" i="4"/>
  <c r="X31" i="4"/>
  <c r="L29" i="4" l="1"/>
  <c r="Y31" i="4"/>
  <c r="AA30" i="4"/>
  <c r="E30" i="4"/>
  <c r="F30" i="4" l="1"/>
  <c r="G30" i="4" s="1"/>
  <c r="AB30" i="4"/>
  <c r="W32" i="4"/>
  <c r="I30" i="4"/>
  <c r="J30" i="4" s="1"/>
  <c r="K30" i="4" l="1"/>
  <c r="Z31" i="4"/>
  <c r="M30" i="4"/>
  <c r="X32" i="4"/>
  <c r="L30" i="4" l="1"/>
  <c r="Y32" i="4"/>
  <c r="AA31" i="4"/>
  <c r="E31" i="4"/>
  <c r="F31" i="4" l="1"/>
  <c r="G31" i="4" s="1"/>
  <c r="AB31" i="4"/>
  <c r="I31" i="4"/>
  <c r="J31" i="4" s="1"/>
  <c r="W33" i="4"/>
  <c r="K31" i="4" l="1"/>
  <c r="L31" i="4" s="1"/>
  <c r="X33" i="4"/>
  <c r="Z32" i="4"/>
  <c r="M31" i="4"/>
  <c r="AA32" i="4" l="1"/>
  <c r="E32" i="4"/>
  <c r="Y33" i="4"/>
  <c r="I32" i="4" l="1"/>
  <c r="J32" i="4" s="1"/>
  <c r="W34" i="4"/>
  <c r="F32" i="4"/>
  <c r="G32" i="4" s="1"/>
  <c r="AB32" i="4"/>
  <c r="K32" i="4" l="1"/>
  <c r="X34" i="4"/>
  <c r="Z33" i="4"/>
  <c r="M32" i="4"/>
  <c r="L32" i="4" l="1"/>
  <c r="AA33" i="4"/>
  <c r="E33" i="4"/>
  <c r="Y34" i="4"/>
  <c r="I33" i="4" l="1"/>
  <c r="J33" i="4" s="1"/>
  <c r="W35" i="4"/>
  <c r="F33" i="4"/>
  <c r="G33" i="4" s="1"/>
  <c r="AB33" i="4"/>
  <c r="K33" i="4" l="1"/>
  <c r="X35" i="4"/>
  <c r="Z34" i="4"/>
  <c r="M33" i="4"/>
  <c r="L33" i="4" l="1"/>
  <c r="AA34" i="4"/>
  <c r="E34" i="4"/>
  <c r="Y35" i="4"/>
  <c r="I34" i="4" l="1"/>
  <c r="J34" i="4" s="1"/>
  <c r="W36" i="4"/>
  <c r="F34" i="4"/>
  <c r="G34" i="4" s="1"/>
  <c r="AB34" i="4"/>
  <c r="K34" i="4" l="1"/>
  <c r="X36" i="4"/>
  <c r="Z35" i="4"/>
  <c r="M34" i="4"/>
  <c r="L34" i="4" l="1"/>
  <c r="AA35" i="4"/>
  <c r="E35" i="4"/>
  <c r="Y36" i="4"/>
  <c r="W37" i="4" l="1"/>
  <c r="I35" i="4"/>
  <c r="J35" i="4" s="1"/>
  <c r="F35" i="4"/>
  <c r="AB35" i="4"/>
  <c r="G35" i="4" l="1"/>
  <c r="K35" i="4" s="1"/>
  <c r="L35" i="4" s="1"/>
  <c r="Z36" i="4"/>
  <c r="M35" i="4"/>
  <c r="X37" i="4"/>
  <c r="Y37" i="4" l="1"/>
  <c r="AA36" i="4"/>
  <c r="E36" i="4"/>
  <c r="I36" i="4" l="1"/>
  <c r="J36" i="4" s="1"/>
  <c r="F36" i="4"/>
  <c r="G36" i="4" s="1"/>
  <c r="AB36" i="4"/>
  <c r="W38" i="4"/>
  <c r="K36" i="4" l="1"/>
  <c r="X38" i="4"/>
  <c r="Z37" i="4"/>
  <c r="M36" i="4"/>
  <c r="L36" i="4" l="1"/>
  <c r="AA37" i="4"/>
  <c r="E37" i="4"/>
  <c r="Y38" i="4"/>
  <c r="W39" i="4" l="1"/>
  <c r="I37" i="4"/>
  <c r="J37" i="4" s="1"/>
  <c r="F37" i="4"/>
  <c r="G37" i="4" s="1"/>
  <c r="AB37" i="4"/>
  <c r="K37" i="4" l="1"/>
  <c r="L37" i="4" s="1"/>
  <c r="Z38" i="4"/>
  <c r="M37" i="4"/>
  <c r="X39" i="4"/>
  <c r="Y39" i="4" l="1"/>
  <c r="AA38" i="4"/>
  <c r="E38" i="4"/>
  <c r="F38" i="4" l="1"/>
  <c r="G38" i="4" s="1"/>
  <c r="AB38" i="4"/>
  <c r="I38" i="4"/>
  <c r="J38" i="4" s="1"/>
  <c r="W40" i="4"/>
  <c r="K38" i="4" l="1"/>
  <c r="X40" i="4"/>
  <c r="Z39" i="4"/>
  <c r="M38" i="4"/>
  <c r="L38" i="4" l="1"/>
  <c r="AA39" i="4"/>
  <c r="E39" i="4"/>
  <c r="Y40" i="4"/>
  <c r="I39" i="4" l="1"/>
  <c r="J39" i="4" s="1"/>
  <c r="F39" i="4"/>
  <c r="AB39" i="4"/>
  <c r="G39" i="4" l="1"/>
  <c r="K39" i="4" s="1"/>
  <c r="L39" i="4" s="1"/>
  <c r="Z40" i="4"/>
  <c r="M39" i="4"/>
  <c r="AA40" i="4" l="1"/>
  <c r="E40" i="4"/>
  <c r="I40" i="4" l="1"/>
  <c r="J40" i="4" s="1"/>
  <c r="F40" i="4"/>
  <c r="G40" i="4" s="1"/>
  <c r="AB40" i="4"/>
  <c r="M40" i="4" s="1"/>
  <c r="K40" i="4" l="1"/>
  <c r="L40" i="4" s="1"/>
  <c r="I31"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Duc immocation</author>
    <author>immocation</author>
    <author>Zieliński Adam</author>
    <author>Stefan Loibl</author>
  </authors>
  <commentList>
    <comment ref="L4" authorId="0" shapeId="0" xr:uid="{17B09835-0ED6-457F-81EB-81EF3D3B30CB}">
      <text>
        <r>
          <rPr>
            <b/>
            <sz val="9"/>
            <color indexed="81"/>
            <rFont val="Segoe UI"/>
            <family val="2"/>
          </rPr>
          <t>Stand der Kalkulation. Erscheint im Kopf des Blattes „Report". Bewusst kein automatisches Tagesdatum, damit ein abgelegter Ausdruck sein Erstellungsdatum behält.</t>
        </r>
      </text>
    </comment>
    <comment ref="L9" authorId="0" shapeId="0" xr:uid="{E9785C70-C764-400D-9256-E0E7A639A8CB}">
      <text>
        <r>
          <rPr>
            <b/>
            <sz val="9"/>
            <color indexed="81"/>
            <rFont val="Segoe UI"/>
            <charset val="1"/>
          </rPr>
          <t>Jahresnettokaltmiete geteilt durch den Kaufpreis ohne Nebenkosten – also Grundstück + Haus + Außenanlagen/Stellplätze. Grunderwerbsteuer, Notar, Grundbuchamt und Makler bleiben außen vor, ebenso die PV-Anlage: Sie erzeugt keine Miete, sondern einen separat ausgewiesenen Erlös.</t>
        </r>
      </text>
    </comment>
    <comment ref="C10" authorId="0" shapeId="0" xr:uid="{852B796F-963A-4922-BF41-4B29E9335ED6}">
      <text>
        <r>
          <rPr>
            <b/>
            <sz val="9"/>
            <color indexed="81"/>
            <rFont val="Segoe UI"/>
            <charset val="1"/>
          </rPr>
          <t>Grunderwerbsteuer, Satz je Bundesland – NRW 6,5 % (Bayern/Sachsen 3,5 %, Hamburg 5,5 %, Berlin/Hessen 6,0 %, NRW/SH/Brandenburg/Saarland/Thüringen 6,5 %). Fällt nur auf das Grundstück an – das ist der Kernvorteil gegenüber dem Bestandskauf, wo sie auf den vollen Kaufpreis anfällt.</t>
        </r>
      </text>
    </comment>
    <comment ref="I10" authorId="1" shapeId="0" xr:uid="{00000000-0006-0000-0100-000002000000}">
      <text>
        <r>
          <rPr>
            <sz val="11"/>
            <color theme="1"/>
            <rFont val="Calibri"/>
            <family val="2"/>
            <scheme val="minor"/>
          </rPr>
          <t>Tatsächlich vermietbare Fläche (nicht DIN) – Banken rechnen damit.</t>
        </r>
      </text>
    </comment>
    <comment ref="C11" authorId="0" shapeId="0" xr:uid="{C4040A25-BA8B-46AB-9F13-C2F49AEBEC48}">
      <text>
        <r>
          <rPr>
            <b/>
            <sz val="9"/>
            <color indexed="81"/>
            <rFont val="Segoe UI"/>
            <family val="2"/>
          </rPr>
          <t>Notar für Kaufvertrag und Auflassung – Erfahrungswert rund 1,5 % des Grundstückskaufpreises.</t>
        </r>
      </text>
    </comment>
    <comment ref="F11" authorId="0" shapeId="0" xr:uid="{BEDF50CF-F15C-4856-A2E2-7EEA2AC278AD}">
      <text>
        <r>
          <rPr>
            <b/>
            <sz val="9"/>
            <color indexed="81"/>
            <rFont val="Segoe UI"/>
            <charset val="1"/>
          </rPr>
          <t>Darlehen im Verhältnis zur Investition ohne die Kaufnebenkosten des Grundstücks. Reine Information: Es gibt keine gesetzliche Obergrenze – weder § 7b EStG noch die degressive AfA noch KfW 297/298 verlangen einen Eigenkapitalanteil. Banken staffeln danach ihre Konditionen (Beleihungsauslauf); ab etwa 90–100 % wird es typischerweise teurer oder es werden Zusatzsicherheiten verlangt.</t>
        </r>
      </text>
    </comment>
    <comment ref="C12" authorId="0" shapeId="0" xr:uid="{8207AE10-5D8E-4410-867E-BBB562838748}">
      <text>
        <r>
          <rPr>
            <b/>
            <sz val="9"/>
            <color indexed="81"/>
            <rFont val="Segoe UI"/>
            <family val="2"/>
          </rPr>
          <t>Grundbuchamt für Eigentumsumschreibung und Eintragung der Grundschuld – Erfahrungswert rund 0,5 % des Grundstückskaufpreises.</t>
        </r>
      </text>
    </comment>
    <comment ref="L13" authorId="0" shapeId="0" xr:uid="{FEB5301D-0342-4F4D-A766-FB4022A9013E}">
      <text>
        <r>
          <rPr>
            <b/>
            <sz val="9"/>
            <color indexed="81"/>
            <rFont val="Segoe UI"/>
            <charset val="1"/>
          </rPr>
          <t>Cashflow nach Steuern zuzüglich Tilgung, bezogen auf das eingesetzte Eigenkapital. Die Tilgung ist kein Aufwand, sondern Vermögensaufbau – sie zählt zum realen Ertrag des ersten Jahres. Sie wird dabei nur einmal gezählt: Im Verkaufsblock wirkt sie über die niedrigere Restschuld, nicht noch einmal als Ertrag.</t>
        </r>
      </text>
    </comment>
    <comment ref="L18" authorId="0" shapeId="0" xr:uid="{F50E9B97-3E2D-46E3-876C-E0DCD27AC0FC}">
      <text>
        <r>
          <rPr>
            <b/>
            <sz val="9"/>
            <color indexed="81"/>
            <rFont val="Segoe UI"/>
            <family val="2"/>
          </rPr>
          <t>Naive Durchschnittsrendite: kumulierter Cashflow plus kumulierte Tilgung, geteilt durch Haltedauer und Eigenkapital. Sie ignoriert, wann das Geld fließt – die Zeile darunter rechnet das korrekt.</t>
        </r>
      </text>
    </comment>
    <comment ref="I21" authorId="1" shapeId="0" xr:uid="{00000000-0006-0000-0100-000006000000}">
      <text>
        <r>
          <rPr>
            <sz val="11"/>
            <color theme="1"/>
            <rFont val="Calibri"/>
            <family val="2"/>
            <scheme val="minor"/>
          </rPr>
          <t>Mischerlös aus Einspeisung und vermiedenem Strombezug. Steuerfrei unter 30 kWp (§ 3 Nr. 72 EStG).</t>
        </r>
      </text>
    </comment>
    <comment ref="C22" authorId="1" shapeId="0" xr:uid="{00000000-0006-0000-0100-000005000000}">
      <text>
        <r>
          <rPr>
            <sz val="11"/>
            <color theme="1"/>
            <rFont val="Calibri"/>
            <family val="2"/>
            <scheme val="minor"/>
          </rPr>
          <t>Gilt für ebenes Grundstück. Reserve für Hanglage und Unvorhergesehenes in der Zeile darunter.</t>
        </r>
      </text>
    </comment>
    <comment ref="L22" authorId="0" shapeId="0" xr:uid="{F4A574FA-C0F9-426E-AFEA-99783489DE13}">
      <text>
        <r>
          <rPr>
            <b/>
            <sz val="9"/>
            <color indexed="81"/>
            <rFont val="Segoe UI"/>
            <charset val="1"/>
          </rPr>
          <t>Basis der Wertsteigerung: Gesamtinvestition ohne die Kaufnebenkosten des Grundstücks – Grunderwerbsteuer, Notar, Grundbuchamt und Makler sind mit der Zahlung weg und unterliegen keiner Wertsteigerung. Ebenfalls heraus: die PV-Anlage, die weiter unten mit eigenem Restwert angesetzt wird.</t>
        </r>
      </text>
    </comment>
    <comment ref="C23" authorId="2" shapeId="0" xr:uid="{AEE11024-ADF6-46E3-8C03-013397FB7106}">
      <text>
        <r>
          <rPr>
            <sz val="9"/>
            <color indexed="81"/>
            <rFont val="Tahoma"/>
            <charset val="1"/>
          </rPr>
          <t>Allgemeine Reserve für unvorhergesehene Kosten (z. B. Erdarbeiten, Abriss, Hanglage, Grundwasser, Entwässerung, Architekt, Baunebenkosten).</t>
        </r>
      </text>
    </comment>
    <comment ref="F26" authorId="1" shapeId="0" xr:uid="{00000000-0006-0000-0100-000007000000}">
      <text>
        <r>
          <rPr>
            <sz val="11"/>
            <color theme="1"/>
            <rFont val="Calibri"/>
            <family val="2"/>
            <scheme val="minor"/>
          </rPr>
          <t>Summe beider Annuitäten. Jedes Darlehen tilgt über seine eigene Laufzeit voll.</t>
        </r>
      </text>
    </comment>
    <comment ref="I26" authorId="0" shapeId="0" xr:uid="{DF27AB7D-6E8A-4FF0-8E0C-596E31434EB1}">
      <text>
        <r>
          <rPr>
            <b/>
            <sz val="9"/>
            <color indexed="81"/>
            <rFont val="Segoe UI"/>
            <charset val="1"/>
          </rPr>
          <t>Auch ein Neubau bleibt nicht ewig neu: In den ersten Jahren fallen kaum Instandhaltungskosten an, mit zunehmendem Alter steigen sie deutlich. Die drei Stufen gelten ab dem jeweiligen Vermietungsjahr; zusätzlich wirkt die Kostensteigerung p.a. auf alle Stufen, die Sätze sind also in heutiger Kaufkraft einzutragen.</t>
        </r>
      </text>
    </comment>
    <comment ref="F27" authorId="0" shapeId="0" xr:uid="{2110E3D6-372B-4366-962C-95F0255C878C}">
      <text>
        <r>
          <rPr>
            <b/>
            <sz val="9"/>
            <color indexed="81"/>
            <rFont val="Segoe UI"/>
            <family val="2"/>
          </rPr>
          <t>Nur nachrichtlich. Gerechnet wird mit zwei getrennten Tilgungsplänen für Förder- und Bankdarlehen, nicht mit diesem Mischzins.</t>
        </r>
      </text>
    </comment>
    <comment ref="C28" authorId="0" shapeId="0" xr:uid="{39601CB3-B8DF-4ECA-849C-1BFCE36ED5F2}">
      <text>
        <r>
          <rPr>
            <b/>
            <sz val="9"/>
            <color indexed="81"/>
            <rFont val="Segoe UI"/>
            <family val="2"/>
          </rPr>
          <t>Eigenes Wirtschaftsgut mit kürzerer Nutzungsdauer als das Gebäude – Abschreibungssatz im Feld „Außenanlagen-AfA" in der Spalte Finanzierung und Steuer. Eine freistehende Garage gehört dagegen in das Feld darunter und läuft in der Gebäude-AfA mit.</t>
        </r>
      </text>
    </comment>
    <comment ref="C29" authorId="0" shapeId="0" xr:uid="{9C202DA1-9D76-49BA-A91F-3BE11F100DFF}">
      <text>
        <r>
          <rPr>
            <b/>
            <sz val="9"/>
            <color indexed="81"/>
            <rFont val="Segoe UI"/>
            <charset val="1"/>
          </rPr>
          <t>Betrag inklusive Fundament frei eintragen. Zur Orientierung die Danwood-Preise aus der Kostenaufstellung: Doppelgarage 22.231 €, Doppelcarport mit Abstellraum 27.423 €, Doppelcarport 14.380 €, Einzelcarport 11.280 €. Eine freistehende Garage ist ein eigenständiges Bauwerk und läuft in der Gebäude-AfA mit; ein Carport ohne Umschließung gehört eher in die Zeile Außenanlagen darüber.</t>
        </r>
      </text>
    </comment>
    <comment ref="K30" authorId="3" shapeId="0" xr:uid="{C2A26FF4-52D5-4662-A344-0D43D90A2E1F}">
      <text>
        <r>
          <rPr>
            <sz val="9"/>
            <color indexed="81"/>
            <rFont val="Tahoma"/>
            <charset val="1"/>
          </rPr>
          <t>Vereinfachte Annahme: linearer Wertverlust über 40 Jahre (analog Restnutzungsdauer)</t>
        </r>
      </text>
    </comment>
    <comment ref="L30" authorId="0" shapeId="0" xr:uid="{614F5DFC-55D2-4164-8200-CBC643BED404}">
      <text>
        <r>
          <rPr>
            <b/>
            <sz val="9"/>
            <color indexed="81"/>
            <rFont val="Segoe UI"/>
            <charset val="1"/>
          </rPr>
          <t>Die PV-Anlage nimmt nicht an der Wertsteigerung teil, sondern verliert linear über 40 Jahre an Wert – das entspricht der sinkenden Restnutzungsdauer. Bei 40 Jahren Haltedauer ist der Restwert 0.</t>
        </r>
      </text>
    </comment>
    <comment ref="L32" authorId="1" shapeId="0" xr:uid="{00000000-0006-0000-0100-00000B000000}">
      <text>
        <r>
          <rPr>
            <sz val="11"/>
            <color theme="1"/>
            <rFont val="Calibri"/>
            <family val="2"/>
            <scheme val="minor"/>
          </rPr>
          <t>Bei Verkauf vor 10 Jahren inkl. AfA-Rückrechnung: kumulierte AfA erhöht den Gewinn.</t>
        </r>
      </text>
    </comment>
    <comment ref="L33" authorId="0" shapeId="0" xr:uid="{31B2F0F9-FA6A-4C86-9091-9732EE1175A4}">
      <text>
        <r>
          <rPr>
            <b/>
            <sz val="9"/>
            <color indexed="81"/>
            <rFont val="Segoe UI"/>
            <family val="2"/>
          </rPr>
          <t>Was nach dem Verkauf tatsächlich auf dem Konto landet: Marktwert plus PV-Restwert, abzüglich Restschuld und – nur bei Verkauf vor Ablauf von 10 Jahren – der Steuer nach § 23 EStG.</t>
        </r>
      </text>
    </comment>
    <comment ref="C35" authorId="0" shapeId="0" xr:uid="{DBE8AC99-9FBC-41BD-A9CE-C405967DB0DB}">
      <text>
        <r>
          <rPr>
            <b/>
            <sz val="9"/>
            <color indexed="81"/>
            <rFont val="Segoe UI"/>
            <family val="2"/>
          </rPr>
          <t>Jahresertrag der Anlage in kWh. Multipliziert mit dem Feld „Erlös je kWh" (Spalte Miete und Bewirtschaftung) ergibt sich der PV-Erlös p.a. Wert vom Danwood-Energieberater projektbezogen einholen.</t>
        </r>
      </text>
    </comment>
    <comment ref="F36" authorId="0" shapeId="0" xr:uid="{1CD4CF18-2A25-4771-A6CC-0CE9FC7E0672}">
      <text>
        <r>
          <rPr>
            <b/>
            <sz val="9"/>
            <color indexed="81"/>
            <rFont val="Segoe UI"/>
            <charset val="1"/>
          </rPr>
          <t>Degressive Abschreibung nach § 7 Abs. 5a EStG: 5 % vom jeweiligen Restbuchwert, der Betrag sinkt also Jahr für Jahr. Alternative ist die lineare AfA mit 3 % der Bemessungsgrundlage.
Die Sonder-AfA nach § 7b läuft in beiden Fällen zusätzlich und mindert die reguläre AfA während der vier Begünstigungsjahre NICHT. Erst ab dem 5. Jahr rechnet die AfA vom Restwert nach Abzug beider Abschreibungen (§ 7a Abs. 9 EStG; BMF-Schreiben vom 21.05.2025, Rn. 65 f. und Beispiel 7).</t>
        </r>
      </text>
    </comment>
    <comment ref="F37" authorId="0" shapeId="0" xr:uid="{A88EADBC-4FA6-4496-A73D-DBC70F9BCA11}">
      <text>
        <r>
          <rPr>
            <b/>
            <sz val="9"/>
            <color indexed="81"/>
            <rFont val="Segoe UI"/>
            <family val="2"/>
          </rPr>
          <t>Haus schlüsselfertig, zusätzliche Leistungen, Architekt, Bodenplatte, Baunebenkosten und Reserve – plus Garage/Carport: ein eigenständiges Bauwerk wird wie das Gebäude abgeschrieben (3 % linear bzw. degressiv), nicht wie eine Außenanlage. NICHT enthalten: Grundstück (nicht abschreibbar), Außenanlagen und Stellplätze (eigener Satz), Küche/Möbel (eigener Satz) und die PV-Anlage.</t>
        </r>
      </text>
    </comment>
    <comment ref="L39" authorId="0" shapeId="0" xr:uid="{30B63B6E-4787-485A-8CB6-707DBD163B50}">
      <text>
        <r>
          <rPr>
            <b/>
            <sz val="9"/>
            <color indexed="81"/>
            <rFont val="Segoe UI"/>
            <family val="2"/>
          </rPr>
          <t>Interner Zinsfuß über die gesamte Haltedauer: Eigenkapitaleinsatz in Jahr 0, laufende Cashflows nach Steuern in den Jahren 1 bis n und der Verkaufserlös im letzten Jahr. Anders als die Ø-Rendite berücksichtigt er den Zeitpunkt jeder Zahlung – das ist die wirtschaftlich richtige Kennzahl.</t>
        </r>
      </text>
    </comment>
    <comment ref="F40" authorId="1" shapeId="0" xr:uid="{00000000-0006-0000-0100-00000F000000}">
      <text>
        <r>
          <rPr>
            <sz val="11"/>
            <color theme="1"/>
            <rFont val="Calibri"/>
            <family val="2"/>
            <scheme val="minor"/>
          </rPr>
          <t>Nur mit QNG-Zertifizierung.</t>
        </r>
      </text>
    </comment>
    <comment ref="F44" authorId="0" shapeId="0" xr:uid="{88C87AE4-9B7A-4926-BA23-91E92066EAE4}">
      <text>
        <r>
          <rPr>
            <b/>
            <sz val="9"/>
            <color indexed="81"/>
            <rFont val="Segoe UI"/>
            <family val="2"/>
          </rPr>
          <t>Bemessungsgrundlage der Sonder-AfA nach § 7b EStG: höchstens 4.000 €/m² Wohnfläche, und nur der Wohngebäude-Anteil – Garage/Carport zählt nicht mit.</t>
        </r>
      </text>
    </comment>
    <comment ref="F45" authorId="0" shapeId="0" xr:uid="{B8AA8E41-6F46-432F-863C-EA7F9BEE2CB5}">
      <text>
        <r>
          <rPr>
            <b/>
            <sz val="9"/>
            <color indexed="81"/>
            <rFont val="Segoe UI"/>
            <family val="2"/>
          </rPr>
          <t>Außenanlagen und Stellplätze sind selbständige unbewegliche Wirtschaftsgüter mit kürzerer Nutzungsdauer als das Gebäude – 10 % entspricht 10 Jahren. Eine freistehende Garage ist dagegen ein Bauwerk und läuft in der Gebäude-AfA-Basis mit; ein Carport ohne Umschließung kann stattdessen hier unter Außenanlagen erfasst werden.</t>
        </r>
      </text>
    </comment>
    <comment ref="F46" authorId="0" shapeId="0" xr:uid="{6B40E64A-5044-4048-8730-F08A52F192DA}">
      <text>
        <r>
          <rPr>
            <b/>
            <sz val="9"/>
            <color indexed="81"/>
            <rFont val="Segoe UI"/>
            <charset val="1"/>
          </rPr>
          <t>Abschreibungssatz p.a. für Küche und Möbel – 10 % entspricht 10 Jahren Nutzungsdauer (BFH IX R 14/15). Als Prozentsatz eingetragen, damit alle AfA-Sätze im Blatt einheitlich sind.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Duc immocation</author>
  </authors>
  <commentList>
    <comment ref="L28" authorId="0" shapeId="0" xr:uid="{156CFBA8-168A-4E88-A8ED-1A3016384CE5}">
      <text>
        <r>
          <rPr>
            <b/>
            <sz val="9"/>
            <color indexed="81"/>
            <rFont val="Segoe UI"/>
            <charset val="1"/>
          </rPr>
          <t>Konservativer Marktwert von Gebäude und Grundstück zuzüglich des Restwerts der Photovoltaikanlage, die linear über 40 Jahre abgeschrieben wird.</t>
        </r>
      </text>
    </comment>
    <comment ref="L29" authorId="0" shapeId="0" xr:uid="{00724687-896D-466D-9A94-AD1C67E88B70}">
      <text>
        <r>
          <rPr>
            <b/>
            <sz val="9"/>
            <color indexed="81"/>
            <rFont val="Segoe UI"/>
            <family val="2"/>
          </rPr>
          <t>Restschuld beider Darlehen am Ende der Haltedauer. Verweis auf den Verkaufsblock im Cockpit.</t>
        </r>
      </text>
    </comment>
    <comment ref="L30" authorId="0" shapeId="0" xr:uid="{76982769-0E57-4227-9453-1DE76156AD1E}">
      <text>
        <r>
          <rPr>
            <b/>
            <sz val="9"/>
            <color indexed="81"/>
            <rFont val="Segoe UI"/>
            <charset val="1"/>
          </rPr>
          <t>Marktwert abzüglich Restschuld – das Vermögen, das nach Ablösung der Darlehen frei verfügbar wäre. Deckungsgleich mit dem Verkaufsblock im Cockpit.</t>
        </r>
      </text>
    </comment>
  </commentList>
</comments>
</file>

<file path=xl/sharedStrings.xml><?xml version="1.0" encoding="utf-8"?>
<sst xmlns="http://schemas.openxmlformats.org/spreadsheetml/2006/main" count="221" uniqueCount="194">
  <si>
    <t>INVESTITIONEN UND KOSTEN</t>
  </si>
  <si>
    <t>FINANZIERUNG UND STEUER</t>
  </si>
  <si>
    <t>MIETE UND BEWIRTSCHAFTUNG</t>
  </si>
  <si>
    <t>KENNZAHLEN</t>
  </si>
  <si>
    <t>Grundstück</t>
  </si>
  <si>
    <t>Objekt &amp; Fläche</t>
  </si>
  <si>
    <t>Ergebnis Jahr 1</t>
  </si>
  <si>
    <t>Kaufpreis Grundstück</t>
  </si>
  <si>
    <t>Eigenkapital</t>
  </si>
  <si>
    <t>Anzahl Wohneinheiten</t>
  </si>
  <si>
    <t>Bruttomietrendite</t>
  </si>
  <si>
    <t>Vermietbare Wohnfläche</t>
  </si>
  <si>
    <t>Cashflow vor Steuern</t>
  </si>
  <si>
    <t>Makler</t>
  </si>
  <si>
    <t>Förderdarlehen (KfW)</t>
  </si>
  <si>
    <t>Miete</t>
  </si>
  <si>
    <t>Cashflow nach Steuern</t>
  </si>
  <si>
    <t>Nebenkosten Grundstück</t>
  </si>
  <si>
    <t>Betrag</t>
  </si>
  <si>
    <t>Kaltmiete pro m² / Monat</t>
  </si>
  <si>
    <t>Summe Grundstück</t>
  </si>
  <si>
    <t>Zinssatz</t>
  </si>
  <si>
    <t>Jahresnettokaltmiete Wohnungen</t>
  </si>
  <si>
    <t>Haus</t>
  </si>
  <si>
    <t>Laufzeit</t>
  </si>
  <si>
    <t>Anzahl Stellplätze</t>
  </si>
  <si>
    <t>Haus schlüsselfertig</t>
  </si>
  <si>
    <t>Annuität p.a.</t>
  </si>
  <si>
    <t>Miete je Stellplatz / Monat</t>
  </si>
  <si>
    <t>Zusätzliche Leistungen</t>
  </si>
  <si>
    <t>Bankdarlehen</t>
  </si>
  <si>
    <t>Architekt / Planung</t>
  </si>
  <si>
    <t>Mietsteigerung p.a.</t>
  </si>
  <si>
    <t>Thermo-Bodenplatte</t>
  </si>
  <si>
    <t>Erlös Photovoltaik (steuerfrei)</t>
  </si>
  <si>
    <t>Erlös je kWh</t>
  </si>
  <si>
    <t>Haltedauer</t>
  </si>
  <si>
    <t>PV-Erlös p.a.</t>
  </si>
  <si>
    <t>Wertsteigerung p.a.</t>
  </si>
  <si>
    <t>Küche / Möbel</t>
  </si>
  <si>
    <t>Finanzierung gesamt</t>
  </si>
  <si>
    <t>Bewirtschaftung (nicht umlagefähig)</t>
  </si>
  <si>
    <t>Summe Haus</t>
  </si>
  <si>
    <t>Annuität gesamt p.a.</t>
  </si>
  <si>
    <t>Verwaltung je WE / Jahr</t>
  </si>
  <si>
    <t>Außenanlagen und Stellplätze</t>
  </si>
  <si>
    <t>Wert nach Wertsteigerung</t>
  </si>
  <si>
    <t>Außenanlagen + Stellplätze</t>
  </si>
  <si>
    <t>Wert nach maximalem Mietfaktor</t>
  </si>
  <si>
    <t>Mietausfallwagnis</t>
  </si>
  <si>
    <t>Garage / Carport (inkl. Fundament)</t>
  </si>
  <si>
    <t>Steuer</t>
  </si>
  <si>
    <t>Kostensteigerung p.a.</t>
  </si>
  <si>
    <t>Summe Außenanlagen und Stellplätze</t>
  </si>
  <si>
    <t>Grenzsteuersatz</t>
  </si>
  <si>
    <t>Photovoltaikanlage</t>
  </si>
  <si>
    <t>Solidaritätszuschlag (% der Steuer)</t>
  </si>
  <si>
    <t>PV-Anlage einrechnen?</t>
  </si>
  <si>
    <t>Ja</t>
  </si>
  <si>
    <t>Kirchensteuer (% der Steuer)</t>
  </si>
  <si>
    <t>Anschaffungskosten</t>
  </si>
  <si>
    <t>Effektiver Steuersatz</t>
  </si>
  <si>
    <t>Anlagengröße (Ertrag kWh/Jahr)</t>
  </si>
  <si>
    <t>Abschreibung (AfA)</t>
  </si>
  <si>
    <t>./. eingesetztes Eigenkapital</t>
  </si>
  <si>
    <t>Summe Photovoltaikanlage</t>
  </si>
  <si>
    <t>AfA-Methode (5 % degr. / 3 % lin.)</t>
  </si>
  <si>
    <t>degressiv</t>
  </si>
  <si>
    <t>GESAMTINVESTITION</t>
  </si>
  <si>
    <t>Baukosten pro m² (Grenze 5.200 €)</t>
  </si>
  <si>
    <t>Warnhinweise</t>
  </si>
  <si>
    <t>5.200-€-Grenze eingehalten?</t>
  </si>
  <si>
    <t>§ 7b Sonder-AfA aktiv (QNG)?</t>
  </si>
  <si>
    <t>5.200-€/m²-Baukostengrenze</t>
  </si>
  <si>
    <t>§ 7b Satz p.a.</t>
  </si>
  <si>
    <t>§ 7b Dauer</t>
  </si>
  <si>
    <t>§ 7b Grenze €/m²</t>
  </si>
  <si>
    <t>Eigenkapital &lt; Investition</t>
  </si>
  <si>
    <t>§ 7b-Bemessungsbasis</t>
  </si>
  <si>
    <t>KfW-Darlehen ≤ Gesamtdarlehen</t>
  </si>
  <si>
    <t>Außenanlagen-AfA</t>
  </si>
  <si>
    <t>Copyright 2026</t>
  </si>
  <si>
    <t>www.immocation.de</t>
  </si>
  <si>
    <t>Nebenrechnung (AfA-Detail · IRR-Cashflow · Darlehen KfW/Bank)</t>
  </si>
  <si>
    <t>Jahr</t>
  </si>
  <si>
    <t>Bewirt-
schaftung</t>
  </si>
  <si>
    <t>Zinsen</t>
  </si>
  <si>
    <t>Tilgung</t>
  </si>
  <si>
    <t>Cashflow
VOR Steuer</t>
  </si>
  <si>
    <t>AfA
gesamt</t>
  </si>
  <si>
    <t>zu ver-
steuern</t>
  </si>
  <si>
    <t>Cashflow
n. Steuer</t>
  </si>
  <si>
    <t>kum. CF
n. Steuer</t>
  </si>
  <si>
    <t>Restschuld</t>
  </si>
  <si>
    <t>Immobilien-
wert</t>
  </si>
  <si>
    <t>kum. AfA
Geb.+§7b</t>
  </si>
  <si>
    <t>kum. AfA
Außenanl.</t>
  </si>
  <si>
    <t>IRR-
Cashflow</t>
  </si>
  <si>
    <t>AfA
§7b</t>
  </si>
  <si>
    <t>AfA
Gebäude</t>
  </si>
  <si>
    <t>AfA
Außenanl.</t>
  </si>
  <si>
    <t>AfA
Küche/Möbel</t>
  </si>
  <si>
    <t>kum.
Küche</t>
  </si>
  <si>
    <t>Zins
KfW</t>
  </si>
  <si>
    <t>Tilgung
KfW</t>
  </si>
  <si>
    <t>Restschuld
KfW</t>
  </si>
  <si>
    <t>Zins
Bank</t>
  </si>
  <si>
    <t>Tilgung
Bank</t>
  </si>
  <si>
    <t>Restschuld
Bank</t>
  </si>
  <si>
    <t>← zurück zum Cockpit</t>
  </si>
  <si>
    <t>Konfiguration</t>
  </si>
  <si>
    <t>Schwellwerte für Kennzahlen-Ampel (rot = unter Gelb)</t>
  </si>
  <si>
    <t>Kennzahl</t>
  </si>
  <si>
    <t>Grün ab</t>
  </si>
  <si>
    <t>Gelb ab</t>
  </si>
  <si>
    <t>FINANZIERUNG</t>
  </si>
  <si>
    <t>EINNAHMEN P.A.</t>
  </si>
  <si>
    <t>OBJEKT</t>
  </si>
  <si>
    <t>Wohnungsmiete</t>
  </si>
  <si>
    <t>Stellplätze</t>
  </si>
  <si>
    <t>Photovoltaik (steuerfrei)</t>
  </si>
  <si>
    <t>Wohneinheiten</t>
  </si>
  <si>
    <t>Kaltmiete je m² / Monat</t>
  </si>
  <si>
    <t>./. Bewirtschaftung</t>
  </si>
  <si>
    <t>Cashflow nach Steuern (Jahr 1)</t>
  </si>
  <si>
    <t>GESAMTFINANZIERUNG</t>
  </si>
  <si>
    <t>EINNAHMEN GESAMT</t>
  </si>
  <si>
    <t>CASHFLOW NACH STEUERN</t>
  </si>
  <si>
    <t>Datum (Stand)</t>
  </si>
  <si>
    <t>Dieses Kalkulationstool wird von der Immocation GmbH kostenlos zur Verfügung gestellt.
Die Datei darf dennoch ohne Zustimmung weder vervielfältigt, noch weitergegeben oder sonst irgendwie anderen Benutzern zugänglich gemacht werden. Bei Interesse kann sie jeder unter https://www.immocation.de/neubau herunterladen.
Microsoft Excel ist ein Produkt der Firma Microsoft. Wir stehen in keinerlei rechtlicher Beziehung zu Microsoft und handeln auch nicht in Microsofts Namen.
Wir weisen ausdrücklich darauf hin, dass wir keinerlei Rechts-, Steuer- oder Finanzberatung erbringen und die geschilderte Rechtslage zum Teil zur besseren Verständlichkeit und Lesbarkeit außerdem auch vereinfacht dargestellt wurde. Alle von uns erteilten Ratschläge fußen ausschließlich auf unserer persönlichen Erfahrung und unserer persönlichen Meinung. Auch wenn wir jede unserer Empfehlungen mit größtmöglicher Sorgfalt und umfangreicher Recherche entwickelt und fortlaufend kritisch hinterfragt haben, können wir hierfür keinerlei Gewähr bieten. Gleiches gilt auch für die Vollständigkeit und Richtigkeit der dargestellten Rechtslage. Die erteilten Ratschläge können ferner auch keine fundierte und auf den Einzelfall zugeschnittene Rechts-, Steuer- oder Finanzberatung ersetzen. Wir können daher weder eine Erfolgsgarantie für die von uns abgegebenen Empfehlungen noch eine Haftung für evtl. Folgen ihrer Anwendung übernehmen.
Auch sämtliche Kalkulationstools wurden mit größter Sorgfalt erstellt. Wir haben durch mehrfache Überprüfungen bestmöglich versucht, Berechnungsfehler auszuschließen. Trotzdem können Fehler nicht vollständig ausgeschlossen werden. Daher können wir keine juristische Verantwortung und keinerlei Haftung für eventuell verbliebene Fehler und deren Folgen übernehmen.
Um etwaige Fehler so weit wie möglich auszuschließen, empfehlen wir dringend und in jedem Fall eigenständige Kontrollrechnungen durchzuführen und ggf. zusätzlichen Fachrat eines Rechts-, Steuer- oder Finanzberaters einzuholen.</t>
  </si>
  <si>
    <t>Rechtliches</t>
  </si>
  <si>
    <t>Warum wir bei immocation Neubau gerade für ein geniales Investment halten</t>
  </si>
  <si>
    <t>Mehr Immobilieninvestoren sollten die Chancen des Neubaus nutzen</t>
  </si>
  <si>
    <r>
      <t xml:space="preserve">immocation ist die größte Plattform privater Immobilieninvestoren in Europa.
Und wir bei immocation sind überzeugt: Neubau ist für Immobilieninvestoren aktuell eine der spannendsten Möglichkeiten, steueroptimiert einen hochwertigen und rentablen Immobilienbestand aufzubauen.
Gleichzeitig ist ein eigenes Neubauprojekt für viele Investoren mit erheblicher Komplexität verbunden. Genau hier sehen wir einen großen Vorteil von Fertighäusern: Planbarkeit, standardisierte Prozesse und ein zentraler Ansprechpartner können die Umsetzung eines Neubauprojekts erheblich vereinfachen und beschleunigen.
Wir haben uns deshalb intensiv mit dem Markt und verschiedenen Fertighausanbietern beschäftigt. Danwood hat uns dabei mit seinem Gesamtkonzept besonders überzeugt. Neben hoher Zuverlässigkeit und Qualität, versteht Danwood wirklich, wie Immobilieninvestoren denken. Einen kleinen ersten Eindruck vermittelt vielleicht dieses gemeinsam entwickelte Kalkulationstool.
</t>
    </r>
    <r>
      <rPr>
        <b/>
        <sz val="12"/>
        <rFont val="Calibri"/>
        <family val="2"/>
        <scheme val="minor"/>
      </rPr>
      <t>Wir bei Danwood und immocation haben ein gemeinsames Ziel: Mehr Immobilieninvestoren sollen die Chancen des Neubaus nutzen können – mit möglichst wenig unnötiger Komplexität auf dem Weg von der Idee zum fertigen Mietobjekt.</t>
    </r>
    <r>
      <rPr>
        <sz val="12"/>
        <rFont val="Calibri"/>
        <family val="2"/>
        <scheme val="minor"/>
      </rPr>
      <t xml:space="preserve">
</t>
    </r>
    <r>
      <rPr>
        <b/>
        <sz val="12"/>
        <rFont val="Calibri"/>
        <family val="2"/>
        <scheme val="minor"/>
      </rPr>
      <t xml:space="preserve">Aus diesem Grund haben wir eine Partnerschaft mit Danwood gestartet und empfehlen der immocation Community ausdrücklich, Danwood bei eigenen Neubauprojekten als Partner in Betracht zu ziehen.
</t>
    </r>
  </si>
  <si>
    <r>
      <rPr>
        <b/>
        <sz val="12"/>
        <rFont val="Calibri"/>
        <family val="2"/>
        <scheme val="minor"/>
      </rPr>
      <t xml:space="preserve">Außergewöhnlich attraktive steuerliche Möglichkeiten: </t>
    </r>
    <r>
      <rPr>
        <sz val="12"/>
        <rFont val="Calibri"/>
        <family val="2"/>
        <scheme val="minor"/>
      </rPr>
      <t xml:space="preserve">Für neu geschaffenen Wohnraum bestehen aktuell besonders interessante Abschreibungsmöglichkeiten. Dazu gehören – abhängig von den jeweiligen Voraussetzungen – die degressive Gebäude-AfA und die Sonderabschreibung für Mietwohnungsneubau nach § 7b EStG. Das kann die Nachsteuerrendite eines Investments dramatisch verbessern. Und trotzdem bleibt der steuerfreie Verkauf nach 10 Jahren.
</t>
    </r>
    <r>
      <rPr>
        <b/>
        <sz val="12"/>
        <rFont val="Calibri"/>
        <family val="2"/>
        <scheme val="minor"/>
      </rPr>
      <t>Keine Mietpreisbremse bei entsprechendem Neubau:</t>
    </r>
    <r>
      <rPr>
        <sz val="12"/>
        <rFont val="Calibri"/>
        <family val="2"/>
        <scheme val="minor"/>
      </rPr>
      <t xml:space="preserve"> Wohnungen, die nach dem 1. Oktober 2014 erstmals genutzt und vermietet wurden, sind von der Mietpreisbremse ausgenommen. Damit besteht bei der Erstvermietung deutlich mehr Freiheit bei der marktgerechten Mietpreisgestaltung.
</t>
    </r>
    <r>
      <rPr>
        <b/>
        <sz val="12"/>
        <rFont val="Calibri"/>
        <family val="2"/>
        <scheme val="minor"/>
      </rPr>
      <t>Energieeffizienz von Anfang an:</t>
    </r>
    <r>
      <rPr>
        <sz val="12"/>
        <rFont val="Calibri"/>
        <family val="2"/>
        <scheme val="minor"/>
      </rPr>
      <t xml:space="preserve"> Statt sich mit alten Heizungen, schlechten Energieklassen und zukünftigen energetischen Sanierungen beschäftigen zu müssen, entsteht ein Gebäude nach heutigen energetischen Anforderungen.
</t>
    </r>
    <r>
      <rPr>
        <b/>
        <sz val="12"/>
        <rFont val="Calibri"/>
        <family val="2"/>
        <scheme val="minor"/>
      </rPr>
      <t>Attraktive Mieten und Nebenkosten:</t>
    </r>
    <r>
      <rPr>
        <sz val="12"/>
        <rFont val="Calibri"/>
        <family val="2"/>
        <scheme val="minor"/>
      </rPr>
      <t xml:space="preserve"> Moderne Grundrisse, zeitgemäße Ausstattung und eine hohe Energieeffizienz machen Neubauten für viele Mieter besonders attraktiv. Gleichzeitig können niedrige Energie- und Nebenkosten die Zahlungsbereitschaft für die Kaltmiete erhöhen.
</t>
    </r>
    <r>
      <rPr>
        <b/>
        <sz val="12"/>
        <rFont val="Calibri"/>
        <family val="2"/>
        <scheme val="minor"/>
      </rPr>
      <t>Sehr geringer Instandhaltungsbedarf:</t>
    </r>
    <r>
      <rPr>
        <sz val="12"/>
        <rFont val="Calibri"/>
        <family val="2"/>
        <scheme val="minor"/>
      </rPr>
      <t xml:space="preserve"> Dach, Heizung, Fenster, Leitungen und andere wesentliche Bauteile sind neu. Größere Instandhaltungsmaßnahmen sind deshalb in den ersten Jahren typischerweise deutlich weniger wahrscheinlich als bei älteren Bestandsobjekten.
</t>
    </r>
    <r>
      <rPr>
        <b/>
        <sz val="12"/>
        <rFont val="Calibri"/>
        <family val="2"/>
        <scheme val="minor"/>
      </rPr>
      <t>Weniger Überraschungen:</t>
    </r>
    <r>
      <rPr>
        <sz val="12"/>
        <rFont val="Calibri"/>
        <family val="2"/>
        <scheme val="minor"/>
      </rPr>
      <t xml:space="preserve"> Keine unbekannten Altlasten, kein Sanierungsstau aus vergangenen Jahrzehnten und deutlich weniger technische Unsicherheiten als bei vielen Bestandsimmobilien.
</t>
    </r>
    <r>
      <rPr>
        <b/>
        <sz val="12"/>
        <rFont val="Calibri"/>
        <family val="2"/>
        <scheme val="minor"/>
      </rPr>
      <t>Attraktives Mieterklientel:</t>
    </r>
    <r>
      <rPr>
        <sz val="12"/>
        <rFont val="Calibri"/>
        <family val="2"/>
        <scheme val="minor"/>
      </rPr>
      <t xml:space="preserve"> Hochwertige Neubauwohnungen sprechen häufig solvente und langfristig orientierte Mieter an. Als Erstvermieter kann man außerdem von Beginn an gezielt auswählen, an welche Zielgruppe und zu welchen Rahmenbedingungen man vermietet.
</t>
    </r>
    <r>
      <rPr>
        <b/>
        <sz val="12"/>
        <rFont val="Calibri"/>
        <family val="2"/>
        <scheme val="minor"/>
      </rPr>
      <t>Ein Objekt genau passend zur eigenen Strategie:</t>
    </r>
    <r>
      <rPr>
        <sz val="12"/>
        <rFont val="Calibri"/>
        <family val="2"/>
        <scheme val="minor"/>
      </rPr>
      <t xml:space="preserve"> Statt das zu kaufen, was zufällig am Markt verfügbar ist, kann man Wohnungsgrößen, Grundrisse, Ausstattung und Gesamtkonzept gezielt auf die gewünschte Mieterzielgruppe und den eigenen Investitionsstandort ausrichten.
Und mit einem erfahrenen Fertighaushersteller lässt sich ein wesentlicher Nachteil des Neubaus deutlich reduzieren: seine Komplexität. Genau deshalb arbeiten wir mit Danwood zusammen.</t>
    </r>
  </si>
  <si>
    <t>Kalkulation starten</t>
  </si>
  <si>
    <t>Kalkulationstool: Neubau für Immobilieninvestoren</t>
  </si>
  <si>
    <t>Nötiges Gesamtdarlehen</t>
  </si>
  <si>
    <t>Ø-Mischzins (nachrichtlich)</t>
  </si>
  <si>
    <t>Sonstige nicht umlagefähige Kosten</t>
  </si>
  <si>
    <t>Jahresnettokaltmiete gesamt (Jahr 1)</t>
  </si>
  <si>
    <t>Nicht umlagefähige Bew.-Kosten (Jahr 1)</t>
  </si>
  <si>
    <t>Hinterlegte Felder = Eingaben, alles andere wird berechnet.</t>
  </si>
  <si>
    <t>Grunderwerbsteuer (NRW)</t>
  </si>
  <si>
    <t>Notar</t>
  </si>
  <si>
    <t>Grundbuchamt</t>
  </si>
  <si>
    <t>Finanzierungsanteil</t>
  </si>
  <si>
    <t>Gebäude-AfA-Basis (Haus + Bau-NK + Garage)</t>
  </si>
  <si>
    <t>Küche / Möbel AfA</t>
  </si>
  <si>
    <t>Instandhaltung je m² / Jahr (Jahr 1–15)</t>
  </si>
  <si>
    <t>Instandhaltung je m² / Jahr (Jahr 16–30)</t>
  </si>
  <si>
    <t>Instandhaltung je m² / Jahr (ab Jahr 31)</t>
  </si>
  <si>
    <t>Cashflow + Tilgung nach Steuern</t>
  </si>
  <si>
    <t>Anfängliche EK-Rendite</t>
  </si>
  <si>
    <t>kum. Cashflow nach Steuern</t>
  </si>
  <si>
    <t>kum. Cashflow + Tilgung nach Steuern</t>
  </si>
  <si>
    <t>Ø EK-Rendite p.a. (inkl. Tilgung)</t>
  </si>
  <si>
    <t>Interner Zinsfuß (IRR, inkl. Verkauf)</t>
  </si>
  <si>
    <t>Bruttomietrendite (ohne PV)</t>
  </si>
  <si>
    <t>Cashflow aus Verkauf nach Steuern</t>
  </si>
  <si>
    <t>PV-Erlös
(steuerfrei)</t>
  </si>
  <si>
    <t>Bankfähige Kalkulation: vermietbare Fläche, Jahresnettokaltmiete, Stellplätze, laufende Bewirtschaftungskosten, Cashflow vor und nach Steuern, EK-Rendite inklusive Tilgung und interner Zinsfuß, frei wählbare Haltedauer, 5.200-€/m²-Baukostengrenze, Außenanlagen und Küche separat abgeschrieben.
Marktwert beim Verkauf: konservativ ermittelt aus der Gesamtinvestition ohne die Kaufnebenkosten des Grundstücks (Grunderwerbsteuer, Notar, Grundbuchamt, Makler – diese unterliegen keiner Wertsteigerung) und ohne die Photovoltaikanlage, die separat mit linearem Restwert über 40 Jahre angesetzt wird. Maßgeblich ist der niedrigere Wert aus Wertsteigerung und maximalem Mietfaktor. Keine Steuerberatung.</t>
  </si>
  <si>
    <t>Auswahllisten (Quelle der Dropdowns im Cockpit)</t>
  </si>
  <si>
    <t>PV-Anlage / § 7b aktiv</t>
  </si>
  <si>
    <t>Nein</t>
  </si>
  <si>
    <t>AfA-Methode</t>
  </si>
  <si>
    <t>linear</t>
  </si>
  <si>
    <t>Validierung: Maximaler Mietfaktor</t>
  </si>
  <si>
    <t>Konservativerer Marktwert</t>
  </si>
  <si>
    <t>+ PV-Anlage Restwert</t>
  </si>
  <si>
    <t>./. Steuer §23 (0 ab 10 J.)</t>
  </si>
  <si>
    <t>Eigenkapital Multiplikator</t>
  </si>
  <si>
    <t>NEUBAU INVESTMENT AUF EINEN BLICK</t>
  </si>
  <si>
    <t>+ Steuervorteil Neubauförderung (Erstattung)</t>
  </si>
  <si>
    <t>Jahresnettokaltmiete (Jahr 1)</t>
  </si>
  <si>
    <t>PV-Erlöse (Jahr 1)</t>
  </si>
  <si>
    <t>Anfängliche Eigenkapital-Rendite</t>
  </si>
  <si>
    <t>./. Kapitaldienst (Zinsen + Tilgung)</t>
  </si>
  <si>
    <t>Einnahmen aus Vermietung und PV</t>
  </si>
  <si>
    <t>Jahresverlauf der Kennzahlen</t>
  </si>
  <si>
    <t>IRR-Cashflow
ohne Verkauf</t>
  </si>
  <si>
    <t>Wertbasis (ohne KNK und PV)</t>
  </si>
  <si>
    <t>COCKPIT (NEUBAU)</t>
  </si>
  <si>
    <t>Cashflow nach Steuern p.a.</t>
  </si>
  <si>
    <t>Eigenkapital-Rendite</t>
  </si>
  <si>
    <t>Interner Zinsfuß (inkl. Verkauf)</t>
  </si>
  <si>
    <t>./. Restschuld Darlehen</t>
  </si>
  <si>
    <t>Hinterlegte Felder = Eingaben. Die Schwellwerte steuern die Ampelfarben im Cockpit</t>
  </si>
  <si>
    <t>DANWOOD NEUBAU KALKULATIONSTOOL</t>
  </si>
  <si>
    <t/>
  </si>
  <si>
    <t>Baunebenkosten (inklusive Erdarbeiten)</t>
  </si>
  <si>
    <t>Allgemeine Reserve</t>
  </si>
  <si>
    <t>Vermögenszuwachs Jahr 1-11</t>
  </si>
  <si>
    <t>DHH Partner 116W; Musterstraße 1, 44135 Dortmund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</si>
</sst>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 \€;\-#,##0\ \€;\-"/>
    <numFmt numFmtId="165" formatCode="#,##0.0\ &quot;m²&quot;"/>
    <numFmt numFmtId="166" formatCode="#,##0.00\ \€;\-#,##0.00\ \€;\-"/>
    <numFmt numFmtId="167" formatCode="0\ &quot;J.&quot;"/>
    <numFmt numFmtId="168" formatCode="#,##0\ &quot;kWh&quot;"/>
    <numFmt numFmtId="169" formatCode="0.00&quot;x&quot;"/>
    <numFmt numFmtId="170" formatCode="#,##0\ &quot;€&quot;;\-#,##0\ &quot;€&quot;;\-"/>
    <numFmt numFmtId="171" formatCode="#,##0.00\ &quot;€&quot;;\-#,##0.00\ &quot;€&quot;;\-"/>
    <numFmt numFmtId="172" formatCode="#,##0.00\ &quot;€&quot;"/>
    <numFmt numFmtId="173" formatCode="#,##0\ [$€-1]"/>
  </numFmts>
  <fonts count="51" x14ac:knownFonts="1">
    <font>
      <sz val="11"/>
      <color theme="1"/>
      <name val="Calibri"/>
      <family val="2"/>
      <scheme val="minor"/>
    </font>
    <font>
      <u/>
      <sz val="11"/>
      <color theme="10"/>
      <name val="Calibri"/>
      <family val="2"/>
      <scheme val="minor"/>
    </font>
    <font>
      <sz val="11"/>
      <color theme="1"/>
      <name val="Calibri"/>
      <family val="2"/>
    </font>
    <font>
      <b/>
      <sz val="20"/>
      <color rgb="FFCD1719"/>
      <name val="Calibri"/>
      <family val="2"/>
    </font>
    <font>
      <sz val="9"/>
      <color rgb="FF717271"/>
      <name val="Calibri"/>
      <family val="2"/>
    </font>
    <font>
      <b/>
      <sz val="12"/>
      <color rgb="FFFFFFFF"/>
      <name val="Calibri"/>
      <family val="2"/>
    </font>
    <font>
      <b/>
      <sz val="11"/>
      <color rgb="FF717271"/>
      <name val="Calibri"/>
      <family val="2"/>
    </font>
    <font>
      <sz val="10"/>
      <color rgb="FF000000"/>
      <name val="Calibri"/>
      <family val="2"/>
    </font>
    <font>
      <b/>
      <sz val="10"/>
      <color rgb="FF000000"/>
      <name val="Calibri"/>
      <family val="2"/>
    </font>
    <font>
      <sz val="9"/>
      <color rgb="FF000000"/>
      <name val="Calibri"/>
      <family val="2"/>
    </font>
    <font>
      <b/>
      <sz val="9"/>
      <color rgb="FFFFFFFF"/>
      <name val="Calibri"/>
      <family val="2"/>
    </font>
    <font>
      <b/>
      <sz val="9"/>
      <color rgb="FF000000"/>
      <name val="Calibri"/>
      <family val="2"/>
    </font>
    <font>
      <b/>
      <sz val="10"/>
      <color rgb="FFFFFFFF"/>
      <name val="Calibri"/>
      <family val="2"/>
    </font>
    <font>
      <sz val="8"/>
      <color rgb="FF000000"/>
      <name val="Calibri"/>
      <family val="2"/>
    </font>
    <font>
      <sz val="8"/>
      <color theme="1"/>
      <name val="Calibri"/>
      <family val="2"/>
    </font>
    <font>
      <sz val="10"/>
      <color rgb="FF000000"/>
      <name val="Calibri"/>
      <family val="2"/>
    </font>
    <font>
      <b/>
      <sz val="10"/>
      <color rgb="FF000000"/>
      <name val="Calibri"/>
      <family val="2"/>
    </font>
    <font>
      <sz val="9"/>
      <color rgb="FF717271"/>
      <name val="Calibri"/>
      <family val="2"/>
    </font>
    <font>
      <b/>
      <sz val="11"/>
      <color rgb="FF000000"/>
      <name val="Calibri"/>
      <family val="2"/>
    </font>
    <font>
      <sz val="10"/>
      <color rgb="FF000000"/>
      <name val="Calibri"/>
      <family val="2"/>
      <scheme val="minor"/>
    </font>
    <font>
      <b/>
      <sz val="20"/>
      <color rgb="FFCD1719"/>
      <name val="Calibri"/>
      <family val="2"/>
      <scheme val="minor"/>
    </font>
    <font>
      <sz val="9"/>
      <color rgb="FF717271"/>
      <name val="Calibri"/>
      <family val="2"/>
      <scheme val="minor"/>
    </font>
    <font>
      <b/>
      <sz val="12"/>
      <color rgb="FFFFFFFF"/>
      <name val="Calibri"/>
      <family val="2"/>
      <scheme val="minor"/>
    </font>
    <font>
      <b/>
      <sz val="11"/>
      <color rgb="FF000000"/>
      <name val="Calibri"/>
      <family val="2"/>
      <scheme val="minor"/>
    </font>
    <font>
      <sz val="10"/>
      <color theme="1"/>
      <name val="Calibri"/>
      <family val="2"/>
    </font>
    <font>
      <b/>
      <sz val="9"/>
      <color indexed="81"/>
      <name val="Segoe UI"/>
      <family val="2"/>
    </font>
    <font>
      <sz val="11"/>
      <color rgb="FF717271"/>
      <name val="Calibri"/>
      <family val="2"/>
      <scheme val="minor"/>
    </font>
    <font>
      <sz val="26"/>
      <color rgb="FFCD1719"/>
      <name val="Calibri"/>
      <family val="2"/>
      <scheme val="minor"/>
    </font>
    <font>
      <b/>
      <sz val="14"/>
      <color rgb="FFCD1719"/>
      <name val="Calibri"/>
      <family val="2"/>
      <scheme val="minor"/>
    </font>
    <font>
      <sz val="10"/>
      <name val="Calibri"/>
      <family val="2"/>
      <scheme val="minor"/>
    </font>
    <font>
      <sz val="8"/>
      <name val="Calibri"/>
      <family val="2"/>
      <scheme val="minor"/>
    </font>
    <font>
      <sz val="10"/>
      <color theme="1"/>
      <name val="Calibri"/>
      <family val="2"/>
      <scheme val="minor"/>
    </font>
    <font>
      <sz val="11"/>
      <name val="Calibri"/>
      <family val="2"/>
      <scheme val="minor"/>
    </font>
    <font>
      <sz val="12"/>
      <name val="Calibri"/>
      <family val="2"/>
      <scheme val="minor"/>
    </font>
    <font>
      <sz val="12"/>
      <color theme="1"/>
      <name val="Calibri"/>
      <family val="2"/>
      <scheme val="minor"/>
    </font>
    <font>
      <b/>
      <sz val="12"/>
      <name val="Calibri"/>
      <family val="2"/>
      <scheme val="minor"/>
    </font>
    <font>
      <sz val="16"/>
      <color theme="0"/>
      <name val="Calibri"/>
      <family val="2"/>
      <scheme val="minor"/>
    </font>
    <font>
      <b/>
      <sz val="11"/>
      <name val="Calibri"/>
      <family val="2"/>
    </font>
    <font>
      <b/>
      <sz val="10"/>
      <name val="Calibri"/>
      <family val="2"/>
    </font>
    <font>
      <sz val="9"/>
      <color rgb="FF716F71"/>
      <name val="Calibri"/>
      <family val="2"/>
    </font>
    <font>
      <b/>
      <sz val="11"/>
      <color rgb="FF000000"/>
      <name val="Calibri"/>
      <family val="2"/>
    </font>
    <font>
      <sz val="11"/>
      <color rgb="FF000000"/>
      <name val="Calibri"/>
      <family val="2"/>
      <scheme val="minor"/>
    </font>
    <font>
      <b/>
      <sz val="9"/>
      <color indexed="81"/>
      <name val="Segoe UI"/>
      <charset val="1"/>
    </font>
    <font>
      <b/>
      <sz val="12"/>
      <color theme="1"/>
      <name val="Calibri"/>
      <family val="2"/>
    </font>
    <font>
      <sz val="12"/>
      <color theme="1"/>
      <name val="Calibri"/>
      <family val="2"/>
    </font>
    <font>
      <u/>
      <sz val="10"/>
      <color rgb="FFCD1719"/>
      <name val="Calibri"/>
      <family val="2"/>
    </font>
    <font>
      <b/>
      <sz val="10"/>
      <color theme="1"/>
      <name val="Calibri"/>
      <family val="2"/>
    </font>
    <font>
      <sz val="9"/>
      <color indexed="81"/>
      <name val="Tahoma"/>
      <charset val="1"/>
    </font>
    <font>
      <u/>
      <sz val="10"/>
      <color rgb="FFCD1719"/>
      <name val="Calibri"/>
      <family val="2"/>
      <scheme val="minor"/>
    </font>
    <font>
      <sz val="11"/>
      <color rgb="FFC00000"/>
      <name val="Calibri"/>
      <family val="2"/>
      <scheme val="minor"/>
    </font>
    <font>
      <b/>
      <sz val="11"/>
      <color rgb="FFC00000"/>
      <name val="Calibri"/>
      <family val="2"/>
      <scheme val="minor"/>
    </font>
  </fonts>
  <fills count="14">
    <fill>
      <patternFill patternType="none"/>
    </fill>
    <fill>
      <patternFill patternType="gray125"/>
    </fill>
    <fill>
      <patternFill patternType="solid">
        <fgColor rgb="FFF2F2F2"/>
      </patternFill>
    </fill>
    <fill>
      <patternFill patternType="solid">
        <fgColor rgb="FFF2F2F2"/>
        <bgColor indexed="64"/>
      </patternFill>
    </fill>
    <fill>
      <patternFill patternType="solid">
        <fgColor rgb="FFC6EFCE"/>
        <bgColor indexed="64"/>
      </patternFill>
    </fill>
    <fill>
      <patternFill patternType="solid">
        <fgColor rgb="FFFFEB9C"/>
        <bgColor indexed="64"/>
      </patternFill>
    </fill>
    <fill>
      <patternFill patternType="solid">
        <fgColor rgb="FF717271"/>
      </patternFill>
    </fill>
    <fill>
      <patternFill patternType="solid">
        <fgColor rgb="FFE1EDF7"/>
      </patternFill>
    </fill>
    <fill>
      <patternFill patternType="solid">
        <fgColor rgb="FF717271"/>
        <bgColor indexed="64"/>
      </patternFill>
    </fill>
    <fill>
      <patternFill patternType="solid">
        <fgColor rgb="FFE1EDF7"/>
        <bgColor indexed="64"/>
      </patternFill>
    </fill>
    <fill>
      <patternFill patternType="solid">
        <fgColor rgb="FFCD1719"/>
        <bgColor indexed="64"/>
      </patternFill>
    </fill>
    <fill>
      <patternFill patternType="solid">
        <fgColor rgb="FFC6C6C6"/>
      </patternFill>
    </fill>
    <fill>
      <patternFill patternType="solid">
        <fgColor rgb="FFFFFFFF"/>
        <bgColor indexed="64"/>
      </patternFill>
    </fill>
    <fill>
      <patternFill patternType="solid">
        <fgColor rgb="FFC6C6C6"/>
        <bgColor indexed="64"/>
      </patternFill>
    </fill>
  </fills>
  <borders count="22">
    <border>
      <left/>
      <right/>
      <top/>
      <bottom/>
      <diagonal/>
    </border>
    <border>
      <left style="medium">
        <color auto="1"/>
      </left>
      <right/>
      <top style="medium">
        <color auto="1"/>
      </top>
      <bottom/>
      <diagonal/>
    </border>
    <border>
      <left style="medium">
        <color auto="1"/>
      </left>
      <right/>
      <top/>
      <bottom style="medium">
        <color auto="1"/>
      </bottom>
      <diagonal/>
    </border>
    <border>
      <left/>
      <right/>
      <top style="medium">
        <color auto="1"/>
      </top>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right/>
      <top/>
      <bottom/>
      <diagonal/>
    </border>
    <border>
      <left/>
      <right/>
      <top style="thin">
        <color rgb="FFC6C6C6"/>
      </top>
      <bottom/>
      <diagonal/>
    </border>
    <border>
      <left/>
      <right/>
      <top/>
      <bottom/>
      <diagonal/>
    </border>
    <border>
      <left/>
      <right/>
      <top style="medium">
        <color rgb="FFCD1719"/>
      </top>
      <bottom/>
      <diagonal/>
    </border>
    <border>
      <left/>
      <right/>
      <top/>
      <bottom/>
      <diagonal/>
    </border>
    <border>
      <left/>
      <right/>
      <top/>
      <bottom/>
      <diagonal/>
    </border>
    <border>
      <left/>
      <right/>
      <top/>
      <bottom style="medium">
        <color rgb="FFCD1719"/>
      </bottom>
      <diagonal/>
    </border>
    <border>
      <left/>
      <right/>
      <top style="thin">
        <color rgb="FFC6C6C6"/>
      </top>
      <bottom/>
      <diagonal/>
    </border>
    <border>
      <left/>
      <right/>
      <top style="medium">
        <color rgb="FFCD1719"/>
      </top>
      <bottom/>
      <diagonal/>
    </border>
    <border>
      <left style="thin">
        <color rgb="FFC6C6C6"/>
      </left>
      <right style="thin">
        <color rgb="FFC6C6C6"/>
      </right>
      <top style="thin">
        <color rgb="FFC6C6C6"/>
      </top>
      <bottom style="thin">
        <color rgb="FFC6C6C6"/>
      </bottom>
      <diagonal/>
    </border>
    <border>
      <left style="thin">
        <color rgb="FFC6C6C6"/>
      </left>
      <right style="thin">
        <color rgb="FFC6C6C6"/>
      </right>
      <top/>
      <bottom style="thin">
        <color rgb="FFC6C6C6"/>
      </bottom>
      <diagonal/>
    </border>
    <border>
      <left style="thin">
        <color rgb="FFC6C6C6"/>
      </left>
      <right style="thin">
        <color rgb="FFC6C6C6"/>
      </right>
      <top style="thin">
        <color rgb="FFC6C6C6"/>
      </top>
      <bottom style="medium">
        <color rgb="FFCD1719"/>
      </bottom>
      <diagonal/>
    </border>
    <border>
      <left/>
      <right/>
      <top style="medium">
        <color rgb="FFCD1719"/>
      </top>
      <bottom style="thin">
        <color rgb="FFC6C6C6"/>
      </bottom>
      <diagonal/>
    </border>
  </borders>
  <cellStyleXfs count="2">
    <xf numFmtId="0" fontId="0" fillId="0" borderId="14"/>
    <xf numFmtId="0" fontId="1" fillId="0" borderId="14"/>
  </cellStyleXfs>
  <cellXfs count="159">
    <xf numFmtId="0" fontId="0" fillId="0" borderId="0" xfId="0" applyBorder="1"/>
    <xf numFmtId="0" fontId="2" fillId="0" borderId="0" xfId="0" applyFont="1" applyBorder="1"/>
    <xf numFmtId="164" fontId="7" fillId="7" borderId="9" xfId="0" applyNumberFormat="1" applyFont="1" applyFill="1" applyBorder="1" applyAlignment="1" applyProtection="1">
      <alignment horizontal="right" vertical="center"/>
      <protection locked="0"/>
    </xf>
    <xf numFmtId="3" fontId="7" fillId="7" borderId="9" xfId="0" applyNumberFormat="1" applyFont="1" applyFill="1" applyBorder="1" applyAlignment="1" applyProtection="1">
      <alignment horizontal="right" vertical="center"/>
      <protection locked="0"/>
    </xf>
    <xf numFmtId="10" fontId="7" fillId="7" borderId="9" xfId="0" applyNumberFormat="1" applyFont="1" applyFill="1" applyBorder="1" applyAlignment="1" applyProtection="1">
      <alignment horizontal="right" vertical="center"/>
      <protection locked="0"/>
    </xf>
    <xf numFmtId="165" fontId="7" fillId="7" borderId="9" xfId="0" applyNumberFormat="1" applyFont="1" applyFill="1" applyBorder="1" applyAlignment="1" applyProtection="1">
      <alignment horizontal="right" vertical="center"/>
      <protection locked="0"/>
    </xf>
    <xf numFmtId="166" fontId="7" fillId="7" borderId="9" xfId="0" applyNumberFormat="1" applyFont="1" applyFill="1" applyBorder="1" applyAlignment="1" applyProtection="1">
      <alignment horizontal="right" vertical="center"/>
      <protection locked="0"/>
    </xf>
    <xf numFmtId="167" fontId="7" fillId="7" borderId="9" xfId="0" applyNumberFormat="1" applyFont="1" applyFill="1" applyBorder="1" applyAlignment="1" applyProtection="1">
      <alignment horizontal="right" vertical="center"/>
      <protection locked="0"/>
    </xf>
    <xf numFmtId="49" fontId="7" fillId="7" borderId="9" xfId="0" applyNumberFormat="1" applyFont="1" applyFill="1" applyBorder="1" applyAlignment="1" applyProtection="1">
      <alignment horizontal="right" vertical="center"/>
      <protection locked="0"/>
    </xf>
    <xf numFmtId="168" fontId="7" fillId="7" borderId="9" xfId="0" applyNumberFormat="1" applyFont="1" applyFill="1" applyBorder="1" applyAlignment="1" applyProtection="1">
      <alignment horizontal="right" vertical="center"/>
      <protection locked="0"/>
    </xf>
    <xf numFmtId="0" fontId="0" fillId="0" borderId="13" xfId="0" applyBorder="1"/>
    <xf numFmtId="167" fontId="15" fillId="7" borderId="14" xfId="0" applyNumberFormat="1" applyFont="1" applyFill="1" applyAlignment="1" applyProtection="1">
      <alignment horizontal="right" vertical="center"/>
      <protection locked="0"/>
    </xf>
    <xf numFmtId="10" fontId="15" fillId="7" borderId="14" xfId="0" applyNumberFormat="1" applyFont="1" applyFill="1" applyAlignment="1" applyProtection="1">
      <alignment horizontal="right" vertical="center"/>
      <protection locked="0"/>
    </xf>
    <xf numFmtId="169" fontId="15" fillId="7" borderId="14" xfId="0" applyNumberFormat="1" applyFont="1" applyFill="1" applyAlignment="1" applyProtection="1">
      <alignment horizontal="right" vertical="center"/>
      <protection locked="0"/>
    </xf>
    <xf numFmtId="0" fontId="2" fillId="0" borderId="9" xfId="0" applyFont="1" applyBorder="1"/>
    <xf numFmtId="0" fontId="7" fillId="0" borderId="9" xfId="0" applyFont="1" applyBorder="1" applyAlignment="1">
      <alignment horizontal="left" vertical="center"/>
    </xf>
    <xf numFmtId="0" fontId="15" fillId="0" borderId="14" xfId="0" applyFont="1" applyAlignment="1">
      <alignment horizontal="left" vertical="center"/>
    </xf>
    <xf numFmtId="10" fontId="15" fillId="0" borderId="14" xfId="0" applyNumberFormat="1" applyFont="1" applyAlignment="1">
      <alignment horizontal="right" vertical="center"/>
    </xf>
    <xf numFmtId="164" fontId="7" fillId="0" borderId="9" xfId="0" applyNumberFormat="1" applyFont="1" applyBorder="1" applyAlignment="1">
      <alignment horizontal="right" vertical="center"/>
    </xf>
    <xf numFmtId="164" fontId="15" fillId="0" borderId="14" xfId="0" applyNumberFormat="1" applyFont="1" applyAlignment="1">
      <alignment horizontal="right" vertical="center"/>
    </xf>
    <xf numFmtId="0" fontId="8" fillId="0" borderId="10" xfId="0" applyFont="1" applyBorder="1" applyAlignment="1">
      <alignment horizontal="left" vertical="center"/>
    </xf>
    <xf numFmtId="164" fontId="8" fillId="0" borderId="10" xfId="0" applyNumberFormat="1" applyFont="1" applyBorder="1" applyAlignment="1">
      <alignment horizontal="right" vertical="center"/>
    </xf>
    <xf numFmtId="0" fontId="16" fillId="0" borderId="16" xfId="0" applyFont="1" applyBorder="1" applyAlignment="1">
      <alignment horizontal="left" vertical="center"/>
    </xf>
    <xf numFmtId="164" fontId="16" fillId="0" borderId="16" xfId="0" applyNumberFormat="1" applyFont="1" applyBorder="1" applyAlignment="1">
      <alignment horizontal="right" vertical="center"/>
    </xf>
    <xf numFmtId="10" fontId="7" fillId="0" borderId="9" xfId="0" applyNumberFormat="1" applyFont="1" applyBorder="1" applyAlignment="1">
      <alignment horizontal="right" vertical="center"/>
    </xf>
    <xf numFmtId="0" fontId="17" fillId="0" borderId="14" xfId="0" applyFont="1" applyAlignment="1">
      <alignment horizontal="left" vertical="center"/>
    </xf>
    <xf numFmtId="0" fontId="17" fillId="0" borderId="14" xfId="0" applyFont="1" applyAlignment="1">
      <alignment horizontal="right" vertical="center"/>
    </xf>
    <xf numFmtId="0" fontId="9" fillId="0" borderId="9" xfId="0" applyFont="1" applyBorder="1" applyAlignment="1">
      <alignment horizontal="left"/>
    </xf>
    <xf numFmtId="10" fontId="9" fillId="0" borderId="9" xfId="0" applyNumberFormat="1" applyFont="1" applyBorder="1" applyAlignment="1">
      <alignment horizontal="right"/>
    </xf>
    <xf numFmtId="0" fontId="18" fillId="11" borderId="12" xfId="0" applyFont="1" applyFill="1" applyBorder="1" applyAlignment="1">
      <alignment horizontal="left" vertical="center"/>
    </xf>
    <xf numFmtId="164" fontId="18" fillId="11" borderId="12" xfId="0" applyNumberFormat="1" applyFont="1" applyFill="1" applyBorder="1" applyAlignment="1">
      <alignment horizontal="right" vertical="center"/>
    </xf>
    <xf numFmtId="0" fontId="18" fillId="11" borderId="17" xfId="0" applyFont="1" applyFill="1" applyBorder="1" applyAlignment="1">
      <alignment horizontal="left" vertical="center"/>
    </xf>
    <xf numFmtId="164" fontId="18" fillId="11" borderId="17" xfId="0" applyNumberFormat="1" applyFont="1" applyFill="1" applyBorder="1" applyAlignment="1">
      <alignment horizontal="right" vertical="center"/>
    </xf>
    <xf numFmtId="166" fontId="7" fillId="0" borderId="9" xfId="0" applyNumberFormat="1" applyFont="1" applyBorder="1" applyAlignment="1">
      <alignment horizontal="right" vertical="center"/>
    </xf>
    <xf numFmtId="169" fontId="15" fillId="0" borderId="14" xfId="0" applyNumberFormat="1" applyFont="1" applyAlignment="1">
      <alignment horizontal="right" vertical="center"/>
    </xf>
    <xf numFmtId="0" fontId="9" fillId="0" borderId="9" xfId="0" applyFont="1" applyBorder="1"/>
    <xf numFmtId="49" fontId="9" fillId="0" borderId="9" xfId="0" applyNumberFormat="1" applyFont="1" applyBorder="1" applyAlignment="1">
      <alignment horizontal="right"/>
    </xf>
    <xf numFmtId="169" fontId="9" fillId="0" borderId="9" xfId="0" applyNumberFormat="1" applyFont="1" applyBorder="1" applyAlignment="1">
      <alignment horizontal="right"/>
    </xf>
    <xf numFmtId="164" fontId="9" fillId="0" borderId="9" xfId="0" applyNumberFormat="1" applyFont="1" applyBorder="1" applyAlignment="1">
      <alignment horizontal="right"/>
    </xf>
    <xf numFmtId="0" fontId="10" fillId="0" borderId="9" xfId="0" applyFont="1" applyBorder="1"/>
    <xf numFmtId="0" fontId="11" fillId="0" borderId="9" xfId="0" applyFont="1" applyBorder="1" applyAlignment="1">
      <alignment horizontal="center"/>
    </xf>
    <xf numFmtId="0" fontId="2" fillId="0" borderId="11" xfId="0" applyFont="1" applyBorder="1"/>
    <xf numFmtId="0" fontId="8" fillId="0" borderId="11" xfId="0" applyFont="1" applyBorder="1" applyAlignment="1">
      <alignment horizontal="center"/>
    </xf>
    <xf numFmtId="0" fontId="7" fillId="0" borderId="9" xfId="0" applyFont="1" applyBorder="1"/>
    <xf numFmtId="14" fontId="24" fillId="9" borderId="9" xfId="0" applyNumberFormat="1" applyFont="1" applyFill="1" applyBorder="1" applyAlignment="1" applyProtection="1">
      <alignment horizontal="right"/>
      <protection locked="0"/>
    </xf>
    <xf numFmtId="0" fontId="19" fillId="12" borderId="0" xfId="0" applyFont="1" applyFill="1" applyBorder="1"/>
    <xf numFmtId="0" fontId="21" fillId="12" borderId="0" xfId="0" applyFont="1" applyFill="1" applyBorder="1"/>
    <xf numFmtId="164" fontId="19" fillId="12" borderId="0" xfId="0" applyNumberFormat="1" applyFont="1" applyFill="1" applyBorder="1" applyAlignment="1">
      <alignment horizontal="right"/>
    </xf>
    <xf numFmtId="3" fontId="19" fillId="12" borderId="0" xfId="0" applyNumberFormat="1" applyFont="1" applyFill="1" applyBorder="1" applyAlignment="1">
      <alignment horizontal="right"/>
    </xf>
    <xf numFmtId="0" fontId="23" fillId="13" borderId="17" xfId="0" applyFont="1" applyFill="1" applyBorder="1"/>
    <xf numFmtId="164" fontId="23" fillId="13" borderId="17" xfId="0" applyNumberFormat="1" applyFont="1" applyFill="1" applyBorder="1" applyAlignment="1">
      <alignment horizontal="right"/>
    </xf>
    <xf numFmtId="10" fontId="19" fillId="12" borderId="0" xfId="0" applyNumberFormat="1" applyFont="1" applyFill="1" applyBorder="1" applyAlignment="1">
      <alignment horizontal="right"/>
    </xf>
    <xf numFmtId="0" fontId="0" fillId="0" borderId="1" xfId="0" applyBorder="1"/>
    <xf numFmtId="0" fontId="0" fillId="0" borderId="3" xfId="0" applyBorder="1"/>
    <xf numFmtId="0" fontId="0" fillId="0" borderId="5" xfId="0" applyBorder="1"/>
    <xf numFmtId="0" fontId="0" fillId="0" borderId="7" xfId="0" applyBorder="1"/>
    <xf numFmtId="0" fontId="0" fillId="0" borderId="8" xfId="0" applyBorder="1"/>
    <xf numFmtId="0" fontId="28" fillId="0" borderId="0" xfId="0" applyFont="1" applyBorder="1"/>
    <xf numFmtId="0" fontId="30" fillId="0" borderId="14" xfId="0" applyFont="1" applyAlignment="1">
      <alignment horizontal="left"/>
    </xf>
    <xf numFmtId="0" fontId="0" fillId="0" borderId="2" xfId="0" applyBorder="1"/>
    <xf numFmtId="0" fontId="31" fillId="0" borderId="4" xfId="0" applyFont="1" applyBorder="1" applyAlignment="1">
      <alignment horizontal="left"/>
    </xf>
    <xf numFmtId="0" fontId="0" fillId="0" borderId="4" xfId="0" applyBorder="1" applyAlignment="1">
      <alignment horizontal="left"/>
    </xf>
    <xf numFmtId="0" fontId="0" fillId="0" borderId="6" xfId="0" applyBorder="1"/>
    <xf numFmtId="0" fontId="0" fillId="0" borderId="14" xfId="0"/>
    <xf numFmtId="0" fontId="34" fillId="0" borderId="14" xfId="0" applyFont="1"/>
    <xf numFmtId="0" fontId="2" fillId="0" borderId="14" xfId="0" applyFont="1"/>
    <xf numFmtId="0" fontId="7" fillId="0" borderId="14" xfId="0" applyFont="1"/>
    <xf numFmtId="0" fontId="38" fillId="0" borderId="10" xfId="0" applyFont="1" applyBorder="1" applyAlignment="1">
      <alignment horizontal="left" vertical="center"/>
    </xf>
    <xf numFmtId="0" fontId="38" fillId="0" borderId="14" xfId="0" applyFont="1" applyAlignment="1">
      <alignment horizontal="left" vertical="center"/>
    </xf>
    <xf numFmtId="164" fontId="8" fillId="0" borderId="14" xfId="0" applyNumberFormat="1" applyFont="1" applyAlignment="1">
      <alignment horizontal="right" vertical="center"/>
    </xf>
    <xf numFmtId="0" fontId="8" fillId="0" borderId="14" xfId="0" applyFont="1" applyAlignment="1">
      <alignment horizontal="left" vertical="center"/>
    </xf>
    <xf numFmtId="0" fontId="7" fillId="0" borderId="14" xfId="0" applyFont="1" applyAlignment="1">
      <alignment horizontal="left" vertical="center"/>
    </xf>
    <xf numFmtId="10" fontId="7" fillId="7" borderId="14" xfId="0" applyNumberFormat="1" applyFont="1" applyFill="1" applyAlignment="1" applyProtection="1">
      <alignment horizontal="right" vertical="center"/>
      <protection locked="0"/>
    </xf>
    <xf numFmtId="0" fontId="21" fillId="12" borderId="0" xfId="0" applyFont="1" applyFill="1" applyBorder="1" applyAlignment="1">
      <alignment horizontal="left" vertical="top" wrapText="1"/>
    </xf>
    <xf numFmtId="170" fontId="19" fillId="12" borderId="0" xfId="0" applyNumberFormat="1" applyFont="1" applyFill="1" applyBorder="1" applyAlignment="1">
      <alignment horizontal="right"/>
    </xf>
    <xf numFmtId="171" fontId="19" fillId="12" borderId="0" xfId="0" applyNumberFormat="1" applyFont="1" applyFill="1" applyBorder="1" applyAlignment="1">
      <alignment horizontal="right"/>
    </xf>
    <xf numFmtId="165" fontId="19" fillId="12" borderId="0" xfId="0" applyNumberFormat="1" applyFont="1" applyFill="1" applyBorder="1" applyAlignment="1">
      <alignment horizontal="right"/>
    </xf>
    <xf numFmtId="170" fontId="23" fillId="13" borderId="17" xfId="0" applyNumberFormat="1" applyFont="1" applyFill="1" applyBorder="1" applyAlignment="1">
      <alignment horizontal="right"/>
    </xf>
    <xf numFmtId="0" fontId="7" fillId="0" borderId="9" xfId="0" applyFont="1" applyBorder="1" applyAlignment="1">
      <alignment horizontal="center" vertical="center"/>
    </xf>
    <xf numFmtId="164" fontId="18" fillId="0" borderId="14" xfId="0" applyNumberFormat="1" applyFont="1" applyAlignment="1">
      <alignment horizontal="right" vertical="center"/>
    </xf>
    <xf numFmtId="0" fontId="19" fillId="0" borderId="14" xfId="0" applyFont="1" applyAlignment="1">
      <alignment horizontal="center" vertical="center" wrapText="1"/>
    </xf>
    <xf numFmtId="0" fontId="3" fillId="0" borderId="0" xfId="0" applyFont="1" applyBorder="1"/>
    <xf numFmtId="0" fontId="43" fillId="0" borderId="0" xfId="0" applyFont="1" applyBorder="1"/>
    <xf numFmtId="0" fontId="44" fillId="0" borderId="0" xfId="0" applyFont="1" applyBorder="1"/>
    <xf numFmtId="0" fontId="44" fillId="0" borderId="0" xfId="0" applyFont="1" applyBorder="1" applyAlignment="1">
      <alignment horizontal="left"/>
    </xf>
    <xf numFmtId="0" fontId="45" fillId="0" borderId="0" xfId="1" applyFont="1" applyBorder="1"/>
    <xf numFmtId="10" fontId="24" fillId="4" borderId="0" xfId="0" applyNumberFormat="1" applyFont="1" applyFill="1" applyBorder="1" applyProtection="1">
      <protection locked="0"/>
    </xf>
    <xf numFmtId="10" fontId="24" fillId="5" borderId="0" xfId="0" applyNumberFormat="1" applyFont="1" applyFill="1" applyBorder="1" applyProtection="1">
      <protection locked="0"/>
    </xf>
    <xf numFmtId="0" fontId="7" fillId="0" borderId="18" xfId="0" applyFont="1" applyBorder="1" applyAlignment="1">
      <alignment horizontal="center"/>
    </xf>
    <xf numFmtId="164" fontId="24" fillId="0" borderId="18" xfId="0" applyNumberFormat="1" applyFont="1" applyBorder="1"/>
    <xf numFmtId="164" fontId="7" fillId="0" borderId="18" xfId="0" applyNumberFormat="1" applyFont="1" applyBorder="1"/>
    <xf numFmtId="0" fontId="7" fillId="2" borderId="18" xfId="0" applyFont="1" applyFill="1" applyBorder="1" applyAlignment="1">
      <alignment horizontal="center"/>
    </xf>
    <xf numFmtId="164" fontId="7" fillId="2" borderId="18" xfId="0" applyNumberFormat="1" applyFont="1" applyFill="1" applyBorder="1"/>
    <xf numFmtId="164" fontId="24" fillId="3" borderId="18" xfId="0" applyNumberFormat="1" applyFont="1" applyFill="1" applyBorder="1"/>
    <xf numFmtId="0" fontId="7" fillId="0" borderId="19" xfId="0" applyFont="1" applyBorder="1" applyAlignment="1">
      <alignment horizontal="center"/>
    </xf>
    <xf numFmtId="164" fontId="13" fillId="0" borderId="19" xfId="0" applyNumberFormat="1" applyFont="1" applyBorder="1"/>
    <xf numFmtId="164" fontId="14" fillId="0" borderId="19" xfId="0" applyNumberFormat="1" applyFont="1" applyBorder="1"/>
    <xf numFmtId="164" fontId="24" fillId="0" borderId="19" xfId="0" applyNumberFormat="1" applyFont="1" applyBorder="1"/>
    <xf numFmtId="0" fontId="12" fillId="8" borderId="20" xfId="0" applyFont="1" applyFill="1" applyBorder="1" applyAlignment="1">
      <alignment horizontal="center" vertical="center" wrapText="1"/>
    </xf>
    <xf numFmtId="0" fontId="18" fillId="0" borderId="14" xfId="0" applyFont="1" applyAlignment="1">
      <alignment horizontal="left"/>
    </xf>
    <xf numFmtId="0" fontId="46" fillId="0" borderId="21" xfId="0" applyFont="1" applyBorder="1"/>
    <xf numFmtId="0" fontId="7" fillId="0" borderId="0" xfId="0" applyFont="1" applyBorder="1"/>
    <xf numFmtId="0" fontId="4" fillId="0" borderId="14" xfId="0" applyFont="1" applyAlignment="1">
      <alignment vertical="top" wrapText="1"/>
    </xf>
    <xf numFmtId="49" fontId="39" fillId="0" borderId="14" xfId="1" applyNumberFormat="1" applyFont="1"/>
    <xf numFmtId="0" fontId="8" fillId="0" borderId="16" xfId="0" applyFont="1" applyBorder="1" applyAlignment="1">
      <alignment horizontal="left" vertical="center"/>
    </xf>
    <xf numFmtId="0" fontId="7" fillId="0" borderId="14" xfId="0" quotePrefix="1" applyFont="1" applyAlignment="1">
      <alignment horizontal="left" vertical="center"/>
    </xf>
    <xf numFmtId="10" fontId="7" fillId="0" borderId="14" xfId="0" applyNumberFormat="1" applyFont="1" applyAlignment="1">
      <alignment horizontal="right" vertical="center"/>
    </xf>
    <xf numFmtId="0" fontId="19" fillId="12" borderId="14" xfId="0" applyFont="1" applyFill="1"/>
    <xf numFmtId="0" fontId="19" fillId="12" borderId="0" xfId="0" quotePrefix="1" applyFont="1" applyFill="1" applyBorder="1"/>
    <xf numFmtId="0" fontId="21" fillId="12" borderId="0" xfId="0" applyFont="1" applyFill="1" applyBorder="1" applyAlignment="1">
      <alignment vertical="top" wrapText="1"/>
    </xf>
    <xf numFmtId="49" fontId="19" fillId="12" borderId="0" xfId="0" applyNumberFormat="1" applyFont="1" applyFill="1" applyBorder="1"/>
    <xf numFmtId="0" fontId="46" fillId="0" borderId="0" xfId="0" applyFont="1" applyBorder="1"/>
    <xf numFmtId="10" fontId="24" fillId="4" borderId="0" xfId="0" applyNumberFormat="1" applyFont="1" applyFill="1" applyBorder="1"/>
    <xf numFmtId="10" fontId="24" fillId="5" borderId="0" xfId="0" applyNumberFormat="1" applyFont="1" applyFill="1" applyBorder="1"/>
    <xf numFmtId="172" fontId="24" fillId="4" borderId="0" xfId="0" applyNumberFormat="1" applyFont="1" applyFill="1" applyBorder="1" applyProtection="1">
      <protection locked="0"/>
    </xf>
    <xf numFmtId="172" fontId="24" fillId="5" borderId="0" xfId="0" applyNumberFormat="1" applyFont="1" applyFill="1" applyBorder="1" applyProtection="1">
      <protection locked="0"/>
    </xf>
    <xf numFmtId="0" fontId="24" fillId="0" borderId="0" xfId="0" applyFont="1" applyBorder="1"/>
    <xf numFmtId="166" fontId="24" fillId="0" borderId="0" xfId="0" applyNumberFormat="1" applyFont="1" applyBorder="1"/>
    <xf numFmtId="0" fontId="7" fillId="0" borderId="14" xfId="0" quotePrefix="1" applyFont="1" applyAlignment="1">
      <alignment horizontal="left" vertical="center" shrinkToFit="1"/>
    </xf>
    <xf numFmtId="0" fontId="7" fillId="0" borderId="9" xfId="0" applyFont="1" applyBorder="1" applyAlignment="1">
      <alignment horizontal="left" vertical="center" shrinkToFit="1"/>
    </xf>
    <xf numFmtId="0" fontId="39" fillId="0" borderId="0" xfId="0" applyFont="1" applyBorder="1"/>
    <xf numFmtId="0" fontId="48" fillId="0" borderId="14" xfId="1" applyFont="1"/>
    <xf numFmtId="0" fontId="4" fillId="0" borderId="14" xfId="0" applyFont="1" applyAlignment="1">
      <alignment horizontal="left" vertical="top" wrapText="1"/>
    </xf>
    <xf numFmtId="173" fontId="19" fillId="12" borderId="0" xfId="0" applyNumberFormat="1" applyFont="1" applyFill="1" applyBorder="1" applyAlignment="1">
      <alignment horizontal="right"/>
    </xf>
    <xf numFmtId="0" fontId="22" fillId="8" borderId="0" xfId="0" applyFont="1" applyFill="1" applyBorder="1" applyAlignment="1">
      <alignment horizontal="left" vertical="center" indent="1"/>
    </xf>
    <xf numFmtId="49" fontId="26" fillId="12" borderId="0" xfId="0" applyNumberFormat="1" applyFont="1" applyFill="1" applyBorder="1" applyAlignment="1">
      <alignment horizontal="left" vertical="center"/>
    </xf>
    <xf numFmtId="0" fontId="19" fillId="12" borderId="0" xfId="0" applyFont="1" applyFill="1" applyBorder="1" applyAlignment="1">
      <alignment horizontal="left" vertical="center"/>
    </xf>
    <xf numFmtId="14" fontId="26" fillId="12" borderId="0" xfId="0" applyNumberFormat="1" applyFont="1" applyFill="1" applyBorder="1" applyAlignment="1">
      <alignment horizontal="right" vertical="center"/>
    </xf>
    <xf numFmtId="0" fontId="19" fillId="12" borderId="0" xfId="0" applyFont="1" applyFill="1" applyBorder="1" applyAlignment="1">
      <alignment horizontal="right" vertical="center"/>
    </xf>
    <xf numFmtId="0" fontId="19" fillId="12" borderId="14" xfId="0" applyFont="1" applyFill="1"/>
    <xf numFmtId="0" fontId="19" fillId="12" borderId="0" xfId="0" applyFont="1" applyFill="1" applyBorder="1"/>
    <xf numFmtId="0" fontId="20" fillId="12" borderId="0" xfId="0" applyFont="1" applyFill="1" applyBorder="1"/>
    <xf numFmtId="0" fontId="29" fillId="0" borderId="14" xfId="0" applyFont="1" applyAlignment="1">
      <alignment horizontal="right"/>
    </xf>
    <xf numFmtId="0" fontId="0" fillId="0" borderId="0" xfId="0" applyBorder="1"/>
    <xf numFmtId="0" fontId="41" fillId="0" borderId="14" xfId="0" applyFont="1"/>
    <xf numFmtId="0" fontId="29" fillId="0" borderId="14" xfId="0" applyFont="1" applyAlignment="1">
      <alignment vertical="top" wrapText="1"/>
    </xf>
    <xf numFmtId="0" fontId="30" fillId="0" borderId="14" xfId="0" applyFont="1" applyAlignment="1">
      <alignment horizontal="left"/>
    </xf>
    <xf numFmtId="0" fontId="28" fillId="0" borderId="14" xfId="0" applyFont="1"/>
    <xf numFmtId="0" fontId="33" fillId="0" borderId="14" xfId="0" applyFont="1" applyAlignment="1">
      <alignment vertical="top" wrapText="1"/>
    </xf>
    <xf numFmtId="0" fontId="34" fillId="0" borderId="0" xfId="0" applyFont="1" applyBorder="1"/>
    <xf numFmtId="0" fontId="34" fillId="0" borderId="14" xfId="0" applyFont="1"/>
    <xf numFmtId="0" fontId="36" fillId="10" borderId="14" xfId="1" applyFont="1" applyFill="1" applyAlignment="1">
      <alignment horizontal="center" vertical="center"/>
    </xf>
    <xf numFmtId="0" fontId="27" fillId="0" borderId="14" xfId="0" applyFont="1" applyAlignment="1">
      <alignment horizontal="center" vertical="center"/>
    </xf>
    <xf numFmtId="0" fontId="49" fillId="0" borderId="0" xfId="0" applyFont="1" applyBorder="1" applyAlignment="1">
      <alignment horizontal="center"/>
    </xf>
    <xf numFmtId="0" fontId="4" fillId="0" borderId="14" xfId="0" applyFont="1" applyAlignment="1">
      <alignment horizontal="left" vertical="top" wrapText="1"/>
    </xf>
    <xf numFmtId="49" fontId="24" fillId="9" borderId="14" xfId="0" applyNumberFormat="1" applyFont="1" applyFill="1" applyAlignment="1" applyProtection="1">
      <alignment horizontal="left"/>
      <protection locked="0"/>
    </xf>
    <xf numFmtId="0" fontId="5" fillId="6" borderId="13" xfId="0" applyFont="1" applyFill="1" applyBorder="1" applyAlignment="1">
      <alignment horizontal="center" vertical="center"/>
    </xf>
    <xf numFmtId="0" fontId="40" fillId="0" borderId="15" xfId="0" applyFont="1" applyBorder="1" applyAlignment="1">
      <alignment horizontal="left" vertical="center"/>
    </xf>
    <xf numFmtId="0" fontId="0" fillId="0" borderId="15" xfId="0" applyBorder="1"/>
    <xf numFmtId="49" fontId="39" fillId="0" borderId="14" xfId="1" applyNumberFormat="1" applyFont="1"/>
    <xf numFmtId="0" fontId="2" fillId="0" borderId="0" xfId="0" applyFont="1" applyBorder="1"/>
    <xf numFmtId="0" fontId="6" fillId="0" borderId="15" xfId="0" applyFont="1" applyBorder="1" applyAlignment="1">
      <alignment horizontal="left" vertical="center"/>
    </xf>
    <xf numFmtId="0" fontId="37" fillId="0" borderId="15" xfId="0" applyFont="1" applyBorder="1" applyAlignment="1">
      <alignment horizontal="left" vertical="center"/>
    </xf>
    <xf numFmtId="0" fontId="32" fillId="0" borderId="15" xfId="0" applyFont="1" applyBorder="1"/>
    <xf numFmtId="0" fontId="18" fillId="0" borderId="15" xfId="0" applyFont="1" applyBorder="1" applyAlignment="1">
      <alignment horizontal="left" vertical="center"/>
    </xf>
    <xf numFmtId="0" fontId="3" fillId="0" borderId="14" xfId="0" applyFont="1"/>
    <xf numFmtId="0" fontId="5" fillId="6" borderId="14" xfId="0" applyFont="1" applyFill="1" applyAlignment="1">
      <alignment horizontal="center" vertical="center"/>
    </xf>
    <xf numFmtId="0" fontId="2" fillId="0" borderId="0" xfId="0" applyFont="1" applyBorder="1" applyAlignment="1">
      <alignment horizontal="center"/>
    </xf>
    <xf numFmtId="0" fontId="12" fillId="8" borderId="14" xfId="0" applyFont="1" applyFill="1" applyAlignment="1">
      <alignment horizontal="center"/>
    </xf>
  </cellXfs>
  <cellStyles count="2">
    <cellStyle name="Link" xfId="1" builtinId="8"/>
    <cellStyle name="Standard" xfId="0" builtinId="0"/>
  </cellStyles>
  <dxfs count="20">
    <dxf>
      <fill>
        <patternFill>
          <bgColor rgb="FFFFC7CE"/>
        </patternFill>
      </fill>
    </dxf>
    <dxf>
      <fill>
        <patternFill>
          <bgColor rgb="FFFFEB9C"/>
        </patternFill>
      </fill>
    </dxf>
    <dxf>
      <fill>
        <patternFill>
          <bgColor rgb="FFC6EFCE"/>
        </patternFill>
      </fill>
    </dxf>
    <dxf>
      <fill>
        <patternFill>
          <bgColor rgb="FFFFC7CE"/>
        </patternFill>
      </fill>
    </dxf>
    <dxf>
      <fill>
        <patternFill>
          <bgColor rgb="FFFFEB9C"/>
        </patternFill>
      </fill>
    </dxf>
    <dxf>
      <fill>
        <patternFill>
          <bgColor rgb="FFC6EFCE"/>
        </patternFill>
      </fill>
    </dxf>
    <dxf>
      <fill>
        <patternFill>
          <bgColor rgb="FFFFC7CE"/>
        </patternFill>
      </fill>
    </dxf>
    <dxf>
      <fill>
        <patternFill>
          <bgColor rgb="FFFFEB9C"/>
        </patternFill>
      </fill>
    </dxf>
    <dxf>
      <fill>
        <patternFill>
          <bgColor rgb="FFC6EFCE"/>
        </patternFill>
      </fill>
    </dxf>
    <dxf>
      <fill>
        <patternFill>
          <bgColor rgb="FFFFC7CE"/>
        </patternFill>
      </fill>
    </dxf>
    <dxf>
      <fill>
        <patternFill>
          <bgColor rgb="FFFFEB9C"/>
        </patternFill>
      </fill>
    </dxf>
    <dxf>
      <fill>
        <patternFill>
          <bgColor rgb="FFC6EFCE"/>
        </patternFill>
      </fill>
    </dxf>
    <dxf>
      <fill>
        <patternFill>
          <bgColor rgb="FFFFC7CE"/>
        </patternFill>
      </fill>
    </dxf>
    <dxf>
      <fill>
        <patternFill>
          <bgColor rgb="FFFFEB9C"/>
        </patternFill>
      </fill>
    </dxf>
    <dxf>
      <fill>
        <patternFill>
          <bgColor rgb="FFC6EFCE"/>
        </patternFill>
      </fill>
    </dxf>
    <dxf>
      <fill>
        <patternFill>
          <bgColor rgb="FFFFC7CE"/>
        </patternFill>
      </fill>
    </dxf>
    <dxf>
      <fill>
        <patternFill>
          <bgColor rgb="FFFFEB9C"/>
        </patternFill>
      </fill>
    </dxf>
    <dxf>
      <fill>
        <patternFill>
          <bgColor rgb="FFC6EFCE"/>
        </patternFill>
      </fill>
    </dxf>
    <dxf>
      <font>
        <b/>
        <i val="0"/>
        <color rgb="FF9C0006"/>
      </font>
      <fill>
        <patternFill>
          <bgColor rgb="FFFFC7CE"/>
        </patternFill>
      </fill>
    </dxf>
    <dxf>
      <font>
        <b/>
        <i val="0"/>
        <color rgb="FF9C0006"/>
      </font>
      <fill>
        <patternFill>
          <bgColor rgb="FFFFC7CE"/>
        </patternFill>
      </fill>
    </dxf>
  </dxfs>
  <tableStyles count="0" defaultTableStyle="TableStyleMedium9" defaultPivotStyle="PivotStyleLight16"/>
  <colors>
    <mruColors>
      <color rgb="FFCD17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Pt>
            <c:idx val="0"/>
            <c:bubble3D val="0"/>
            <c:spPr>
              <a:solidFill>
                <a:srgbClr val="20201E"/>
              </a:solidFill>
              <a:ln w="15875">
                <a:solidFill>
                  <a:srgbClr val="FFFFFF"/>
                </a:solidFill>
              </a:ln>
            </c:spPr>
            <c:extLst>
              <c:ext xmlns:c16="http://schemas.microsoft.com/office/drawing/2014/chart" uri="{C3380CC4-5D6E-409C-BE32-E72D297353CC}">
                <c16:uniqueId val="{00000003-BB15-43D1-98F2-D4EFB0F2BFA4}"/>
              </c:ext>
            </c:extLst>
          </c:dPt>
          <c:dPt>
            <c:idx val="1"/>
            <c:bubble3D val="0"/>
            <c:spPr>
              <a:solidFill>
                <a:srgbClr val="717271"/>
              </a:solidFill>
              <a:ln w="15875">
                <a:solidFill>
                  <a:srgbClr val="FFFFFF"/>
                </a:solidFill>
              </a:ln>
            </c:spPr>
            <c:extLst>
              <c:ext xmlns:c16="http://schemas.microsoft.com/office/drawing/2014/chart" uri="{C3380CC4-5D6E-409C-BE32-E72D297353CC}">
                <c16:uniqueId val="{00000004-BB15-43D1-98F2-D4EFB0F2BFA4}"/>
              </c:ext>
            </c:extLst>
          </c:dPt>
          <c:dPt>
            <c:idx val="2"/>
            <c:bubble3D val="0"/>
            <c:spPr>
              <a:solidFill>
                <a:srgbClr val="C6C6C6"/>
              </a:solidFill>
              <a:ln w="15875">
                <a:solidFill>
                  <a:srgbClr val="FFFFFF"/>
                </a:solidFill>
              </a:ln>
            </c:spPr>
            <c:extLst>
              <c:ext xmlns:c16="http://schemas.microsoft.com/office/drawing/2014/chart" uri="{C3380CC4-5D6E-409C-BE32-E72D297353CC}">
                <c16:uniqueId val="{00000005-BB15-43D1-98F2-D4EFB0F2BFA4}"/>
              </c:ext>
            </c:extLst>
          </c:dPt>
          <c:dPt>
            <c:idx val="3"/>
            <c:bubble3D val="0"/>
            <c:spPr>
              <a:solidFill>
                <a:srgbClr val="E1EDF7"/>
              </a:solidFill>
              <a:ln w="15875">
                <a:solidFill>
                  <a:srgbClr val="FFFFFF"/>
                </a:solidFill>
              </a:ln>
            </c:spPr>
            <c:extLst>
              <c:ext xmlns:c16="http://schemas.microsoft.com/office/drawing/2014/chart" uri="{C3380CC4-5D6E-409C-BE32-E72D297353CC}">
                <c16:uniqueId val="{00000006-BB15-43D1-98F2-D4EFB0F2BFA4}"/>
              </c:ext>
            </c:extLst>
          </c:dPt>
          <c:dLbls>
            <c:spPr>
              <a:noFill/>
              <a:ln>
                <a:noFill/>
              </a:ln>
              <a:effectLst/>
            </c:spPr>
            <c:txPr>
              <a:bodyPr wrap="square" lIns="38100" tIns="19050" rIns="38100" bIns="19050" anchor="ctr">
                <a:spAutoFit/>
              </a:bodyPr>
              <a:lstStyle/>
              <a:p>
                <a:pPr>
                  <a:defRPr sz="900" b="1">
                    <a:solidFill>
                      <a:srgbClr val="000000"/>
                    </a:solidFill>
                  </a:defRPr>
                </a:pPr>
                <a:endParaRPr lang="de-DE"/>
              </a:p>
            </c:txPr>
            <c:dLblPos val="outEnd"/>
            <c:showLegendKey val="0"/>
            <c:showVal val="0"/>
            <c:showCatName val="0"/>
            <c:showSerName val="0"/>
            <c:showPercent val="1"/>
            <c:showBubbleSize val="0"/>
            <c:showLeaderLines val="1"/>
            <c:extLst>
              <c:ext xmlns:c15="http://schemas.microsoft.com/office/drawing/2012/chart" uri="{CE6537A1-D6FC-4f65-9D91-7224C49458BB}"/>
            </c:extLst>
          </c:dLbls>
          <c:cat>
            <c:strRef>
              <c:f>Report!$B$5:$B$8</c:f>
              <c:strCache>
                <c:ptCount val="4"/>
                <c:pt idx="0">
                  <c:v>Grundstück</c:v>
                </c:pt>
                <c:pt idx="1">
                  <c:v>Haus</c:v>
                </c:pt>
                <c:pt idx="2">
                  <c:v>Außenanlagen und Stellplätze</c:v>
                </c:pt>
                <c:pt idx="3">
                  <c:v>Photovoltaikanlage</c:v>
                </c:pt>
              </c:strCache>
            </c:strRef>
          </c:cat>
          <c:val>
            <c:numRef>
              <c:f>Report!$C$5:$C$8</c:f>
              <c:numCache>
                <c:formatCode>#,##0\ \€;\-#,##0\ \€;\-</c:formatCode>
                <c:ptCount val="4"/>
                <c:pt idx="0">
                  <c:v>84052.5</c:v>
                </c:pt>
                <c:pt idx="1">
                  <c:v>361026</c:v>
                </c:pt>
                <c:pt idx="2">
                  <c:v>20000</c:v>
                </c:pt>
                <c:pt idx="3">
                  <c:v>13620</c:v>
                </c:pt>
              </c:numCache>
            </c:numRef>
          </c:val>
          <c:extLst>
            <c:ext xmlns:c16="http://schemas.microsoft.com/office/drawing/2014/chart" uri="{C3380CC4-5D6E-409C-BE32-E72D297353CC}">
              <c16:uniqueId val="{00000002-BB15-43D1-98F2-D4EFB0F2BFA4}"/>
            </c:ext>
          </c:extLst>
        </c:ser>
        <c:dLbls>
          <c:showLegendKey val="0"/>
          <c:showVal val="0"/>
          <c:showCatName val="0"/>
          <c:showSerName val="0"/>
          <c:showPercent val="0"/>
          <c:showBubbleSize val="0"/>
          <c:showLeaderLines val="1"/>
        </c:dLbls>
        <c:firstSliceAng val="0"/>
      </c:pieChart>
    </c:plotArea>
    <c:legend>
      <c:legendPos val="b"/>
      <c:overlay val="0"/>
      <c:txPr>
        <a:bodyPr/>
        <a:lstStyle/>
        <a:p>
          <a:pPr>
            <a:defRPr sz="900"/>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ln>
      <a:solidFill>
        <a:srgbClr val="C6C6C6"/>
      </a:solidFill>
    </a:ln>
  </c:spPr>
  <c:txPr>
    <a:bodyPr/>
    <a:lstStyle/>
    <a:p>
      <a:pPr>
        <a:defRPr sz="900">
          <a:latin typeface="Calibri"/>
          <a:ea typeface="Calibri"/>
          <a:cs typeface="Calibri"/>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Pt>
            <c:idx val="0"/>
            <c:bubble3D val="0"/>
            <c:spPr>
              <a:solidFill>
                <a:srgbClr val="20201E"/>
              </a:solidFill>
              <a:ln w="15875">
                <a:solidFill>
                  <a:srgbClr val="FFFFFF"/>
                </a:solidFill>
              </a:ln>
            </c:spPr>
            <c:extLst>
              <c:ext xmlns:c16="http://schemas.microsoft.com/office/drawing/2014/chart" uri="{C3380CC4-5D6E-409C-BE32-E72D297353CC}">
                <c16:uniqueId val="{00000003-9383-4B49-A09E-CFA2D7CC08CC}"/>
              </c:ext>
            </c:extLst>
          </c:dPt>
          <c:dPt>
            <c:idx val="1"/>
            <c:bubble3D val="0"/>
            <c:spPr>
              <a:solidFill>
                <a:srgbClr val="717271"/>
              </a:solidFill>
              <a:ln w="15875">
                <a:solidFill>
                  <a:srgbClr val="FFFFFF"/>
                </a:solidFill>
              </a:ln>
            </c:spPr>
            <c:extLst>
              <c:ext xmlns:c16="http://schemas.microsoft.com/office/drawing/2014/chart" uri="{C3380CC4-5D6E-409C-BE32-E72D297353CC}">
                <c16:uniqueId val="{00000004-9383-4B49-A09E-CFA2D7CC08CC}"/>
              </c:ext>
            </c:extLst>
          </c:dPt>
          <c:dPt>
            <c:idx val="2"/>
            <c:bubble3D val="0"/>
            <c:spPr>
              <a:solidFill>
                <a:srgbClr val="E1EDF7"/>
              </a:solidFill>
              <a:ln w="15875">
                <a:solidFill>
                  <a:srgbClr val="FFFFFF"/>
                </a:solidFill>
              </a:ln>
            </c:spPr>
            <c:extLst>
              <c:ext xmlns:c16="http://schemas.microsoft.com/office/drawing/2014/chart" uri="{C3380CC4-5D6E-409C-BE32-E72D297353CC}">
                <c16:uniqueId val="{00000005-9383-4B49-A09E-CFA2D7CC08CC}"/>
              </c:ext>
            </c:extLst>
          </c:dPt>
          <c:dLbls>
            <c:spPr>
              <a:noFill/>
              <a:ln>
                <a:noFill/>
              </a:ln>
              <a:effectLst/>
            </c:spPr>
            <c:txPr>
              <a:bodyPr wrap="square" lIns="38100" tIns="19050" rIns="38100" bIns="19050" anchor="ctr">
                <a:spAutoFit/>
              </a:bodyPr>
              <a:lstStyle/>
              <a:p>
                <a:pPr>
                  <a:defRPr sz="900" b="1">
                    <a:solidFill>
                      <a:srgbClr val="000000"/>
                    </a:solidFill>
                  </a:defRPr>
                </a:pPr>
                <a:endParaRPr lang="de-DE"/>
              </a:p>
            </c:txPr>
            <c:dLblPos val="outEnd"/>
            <c:showLegendKey val="0"/>
            <c:showVal val="0"/>
            <c:showCatName val="0"/>
            <c:showSerName val="0"/>
            <c:showPercent val="1"/>
            <c:showBubbleSize val="0"/>
            <c:showLeaderLines val="1"/>
            <c:extLst>
              <c:ext xmlns:c15="http://schemas.microsoft.com/office/drawing/2012/chart" uri="{CE6537A1-D6FC-4f65-9D91-7224C49458BB}"/>
            </c:extLst>
          </c:dLbls>
          <c:cat>
            <c:strRef>
              <c:f>Report!$E$5:$E$7</c:f>
              <c:strCache>
                <c:ptCount val="3"/>
                <c:pt idx="0">
                  <c:v>Eigenkapital</c:v>
                </c:pt>
                <c:pt idx="1">
                  <c:v>Förderdarlehen (KfW)</c:v>
                </c:pt>
                <c:pt idx="2">
                  <c:v>Bankdarlehen</c:v>
                </c:pt>
              </c:strCache>
            </c:strRef>
          </c:cat>
          <c:val>
            <c:numRef>
              <c:f>Report!$F$5:$F$7</c:f>
              <c:numCache>
                <c:formatCode>#,##0\ \€;\-#,##0\ \€;\-</c:formatCode>
                <c:ptCount val="3"/>
                <c:pt idx="0">
                  <c:v>55000</c:v>
                </c:pt>
                <c:pt idx="1">
                  <c:v>150000</c:v>
                </c:pt>
                <c:pt idx="2">
                  <c:v>273698.5</c:v>
                </c:pt>
              </c:numCache>
            </c:numRef>
          </c:val>
          <c:extLst>
            <c:ext xmlns:c16="http://schemas.microsoft.com/office/drawing/2014/chart" uri="{C3380CC4-5D6E-409C-BE32-E72D297353CC}">
              <c16:uniqueId val="{00000002-9383-4B49-A09E-CFA2D7CC08CC}"/>
            </c:ext>
          </c:extLst>
        </c:ser>
        <c:dLbls>
          <c:showLegendKey val="0"/>
          <c:showVal val="0"/>
          <c:showCatName val="0"/>
          <c:showSerName val="0"/>
          <c:showPercent val="0"/>
          <c:showBubbleSize val="0"/>
          <c:showLeaderLines val="1"/>
        </c:dLbls>
        <c:firstSliceAng val="0"/>
      </c:pieChart>
    </c:plotArea>
    <c:legend>
      <c:legendPos val="b"/>
      <c:overlay val="0"/>
      <c:txPr>
        <a:bodyPr/>
        <a:lstStyle/>
        <a:p>
          <a:pPr>
            <a:defRPr sz="900"/>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ln>
      <a:solidFill>
        <a:srgbClr val="C6C6C6"/>
      </a:solidFill>
    </a:ln>
  </c:spPr>
  <c:txPr>
    <a:bodyPr/>
    <a:lstStyle/>
    <a:p>
      <a:pPr>
        <a:defRPr sz="900">
          <a:latin typeface="Calibri"/>
          <a:ea typeface="Calibri"/>
          <a:cs typeface="Calibri"/>
        </a:defRPr>
      </a:pPr>
      <a:endParaRPr lang="de-DE"/>
    </a:p>
  </c:tx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1</xdr:col>
      <xdr:colOff>152671</xdr:colOff>
      <xdr:row>2</xdr:row>
      <xdr:rowOff>158750</xdr:rowOff>
    </xdr:from>
    <xdr:ext cx="632612" cy="596900"/>
    <xdr:pic>
      <xdr:nvPicPr>
        <xdr:cNvPr id="2" name="Image 1" descr="Picture">
          <a:extLst>
            <a:ext uri="{FF2B5EF4-FFF2-40B4-BE49-F238E27FC236}">
              <a16:creationId xmlns:a16="http://schemas.microsoft.com/office/drawing/2014/main" id="{A58D69C5-99FD-485A-A93B-8B3F45F52219}"/>
            </a:ext>
          </a:extLst>
        </xdr:cNvPr>
        <xdr:cNvPicPr>
          <a:picLocks noChangeAspect="1"/>
        </xdr:cNvPicPr>
      </xdr:nvPicPr>
      <xdr:blipFill>
        <a:blip xmlns:r="http://schemas.openxmlformats.org/officeDocument/2006/relationships" r:embed="rId1" cstate="print"/>
        <a:stretch>
          <a:fillRect/>
        </a:stretch>
      </xdr:blipFill>
      <xdr:spPr>
        <a:xfrm>
          <a:off x="794021" y="552450"/>
          <a:ext cx="632612" cy="596900"/>
        </a:xfrm>
        <a:prstGeom prst="rect">
          <a:avLst/>
        </a:prstGeom>
        <a:ln>
          <a:prstDash val="solid"/>
        </a:ln>
      </xdr:spPr>
    </xdr:pic>
    <xdr:clientData/>
  </xdr:oneCellAnchor>
  <xdr:twoCellAnchor editAs="oneCell">
    <xdr:from>
      <xdr:col>11</xdr:col>
      <xdr:colOff>476250</xdr:colOff>
      <xdr:row>2</xdr:row>
      <xdr:rowOff>139700</xdr:rowOff>
    </xdr:from>
    <xdr:to>
      <xdr:col>12</xdr:col>
      <xdr:colOff>507351</xdr:colOff>
      <xdr:row>6</xdr:row>
      <xdr:rowOff>80104</xdr:rowOff>
    </xdr:to>
    <xdr:pic>
      <xdr:nvPicPr>
        <xdr:cNvPr id="4" name="DanwoodLogo">
          <a:extLst>
            <a:ext uri="{FF2B5EF4-FFF2-40B4-BE49-F238E27FC236}">
              <a16:creationId xmlns:a16="http://schemas.microsoft.com/office/drawing/2014/main" id="{84753AA7-6249-4FFC-A50E-5BF4FA48BC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24950" y="1041400"/>
          <a:ext cx="653401" cy="905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615950</xdr:colOff>
      <xdr:row>0</xdr:row>
      <xdr:rowOff>82550</xdr:rowOff>
    </xdr:from>
    <xdr:ext cx="390525" cy="5524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14935200" y="82550"/>
          <a:ext cx="390525" cy="552450"/>
        </a:xfrm>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66040</xdr:colOff>
      <xdr:row>10</xdr:row>
      <xdr:rowOff>71120</xdr:rowOff>
    </xdr:from>
    <xdr:to>
      <xdr:col>3</xdr:col>
      <xdr:colOff>63500</xdr:colOff>
      <xdr:row>24</xdr:row>
      <xdr:rowOff>243840</xdr:rowOff>
    </xdr:to>
    <xdr:graphicFrame macro="">
      <xdr:nvGraphicFramePr>
        <xdr:cNvPr id="2" name="Diagramm 1">
          <a:extLst>
            <a:ext uri="{FF2B5EF4-FFF2-40B4-BE49-F238E27FC236}">
              <a16:creationId xmlns:a16="http://schemas.microsoft.com/office/drawing/2014/main" id="{D0594361-91E0-0A2A-7FA9-7CDA6ABD24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66040</xdr:colOff>
      <xdr:row>10</xdr:row>
      <xdr:rowOff>71120</xdr:rowOff>
    </xdr:from>
    <xdr:to>
      <xdr:col>6</xdr:col>
      <xdr:colOff>63500</xdr:colOff>
      <xdr:row>24</xdr:row>
      <xdr:rowOff>243840</xdr:rowOff>
    </xdr:to>
    <xdr:graphicFrame macro="">
      <xdr:nvGraphicFramePr>
        <xdr:cNvPr id="3" name="Diagramm 2">
          <a:extLst>
            <a:ext uri="{FF2B5EF4-FFF2-40B4-BE49-F238E27FC236}">
              <a16:creationId xmlns:a16="http://schemas.microsoft.com/office/drawing/2014/main" id="{E52817D1-0F55-B821-1C04-DEE56B299A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11</xdr:col>
      <xdr:colOff>558800</xdr:colOff>
      <xdr:row>0</xdr:row>
      <xdr:rowOff>177800</xdr:rowOff>
    </xdr:from>
    <xdr:ext cx="390525" cy="552450"/>
    <xdr:pic>
      <xdr:nvPicPr>
        <xdr:cNvPr id="7" name="DanwoodLogoReport" descr="Picture">
          <a:extLst>
            <a:ext uri="{FF2B5EF4-FFF2-40B4-BE49-F238E27FC236}">
              <a16:creationId xmlns:a16="http://schemas.microsoft.com/office/drawing/2014/main" id="{788D9FD3-A5A7-47E8-98B6-19CEDE667FF5}"/>
            </a:ext>
          </a:extLst>
        </xdr:cNvPr>
        <xdr:cNvPicPr/>
      </xdr:nvPicPr>
      <xdr:blipFill>
        <a:blip xmlns:r="http://schemas.openxmlformats.org/officeDocument/2006/relationships" r:embed="rId3" cstate="print"/>
        <a:stretch>
          <a:fillRect/>
        </a:stretch>
      </xdr:blipFill>
      <xdr:spPr>
        <a:xfrm>
          <a:off x="14878050" y="177800"/>
          <a:ext cx="390525" cy="552450"/>
        </a:xfrm>
        <a:prstGeom prst="rect">
          <a:avLst/>
        </a:prstGeom>
        <a:ln>
          <a:prstDash val="solid"/>
        </a:ln>
      </xdr:spPr>
    </xdr:pic>
    <xdr:clientData/>
  </xdr:oneCellAnchor>
  <xdr:twoCellAnchor editAs="oneCell">
    <xdr:from>
      <xdr:col>7</xdr:col>
      <xdr:colOff>17930</xdr:colOff>
      <xdr:row>12</xdr:row>
      <xdr:rowOff>108698</xdr:rowOff>
    </xdr:from>
    <xdr:to>
      <xdr:col>8</xdr:col>
      <xdr:colOff>1004047</xdr:colOff>
      <xdr:row>22</xdr:row>
      <xdr:rowOff>152401</xdr:rowOff>
    </xdr:to>
    <xdr:pic>
      <xdr:nvPicPr>
        <xdr:cNvPr id="5" name="AussenansichtPartner116W">
          <a:extLst>
            <a:ext uri="{FF2B5EF4-FFF2-40B4-BE49-F238E27FC236}">
              <a16:creationId xmlns:a16="http://schemas.microsoft.com/office/drawing/2014/main" id="{8098D556-6A5E-6EA8-8E13-17AAD79403AE}"/>
            </a:ext>
          </a:extLst>
        </xdr:cNvPr>
        <xdr:cNvPicPr>
          <a:picLocks/>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4762" t="61" r="12118" b="-1"/>
        <a:stretch>
          <a:fillRect/>
        </a:stretch>
      </xdr:blipFill>
      <xdr:spPr>
        <a:xfrm>
          <a:off x="7700683" y="3192557"/>
          <a:ext cx="3594846" cy="2553820"/>
        </a:xfrm>
        <a:prstGeom prst="rect">
          <a:avLst/>
        </a:prstGeom>
      </xdr:spPr>
    </xdr:pic>
    <xdr:clientData/>
  </xdr:twoCellAnchor>
  <xdr:twoCellAnchor editAs="oneCell">
    <xdr:from>
      <xdr:col>9</xdr:col>
      <xdr:colOff>51170</xdr:colOff>
      <xdr:row>12</xdr:row>
      <xdr:rowOff>98612</xdr:rowOff>
    </xdr:from>
    <xdr:to>
      <xdr:col>12</xdr:col>
      <xdr:colOff>124746</xdr:colOff>
      <xdr:row>22</xdr:row>
      <xdr:rowOff>235856</xdr:rowOff>
    </xdr:to>
    <xdr:pic>
      <xdr:nvPicPr>
        <xdr:cNvPr id="4" name="Obraz 3">
          <a:extLst>
            <a:ext uri="{FF2B5EF4-FFF2-40B4-BE49-F238E27FC236}">
              <a16:creationId xmlns:a16="http://schemas.microsoft.com/office/drawing/2014/main" id="{6D495DAD-7F5C-3F11-5194-0C48C2C64F98}"/>
            </a:ext>
          </a:extLst>
        </xdr:cNvPr>
        <xdr:cNvPicPr>
          <a:picLocks noChangeAspect="1"/>
        </xdr:cNvPicPr>
      </xdr:nvPicPr>
      <xdr:blipFill>
        <a:blip xmlns:r="http://schemas.openxmlformats.org/officeDocument/2006/relationships" r:embed="rId5"/>
        <a:stretch>
          <a:fillRect/>
        </a:stretch>
      </xdr:blipFill>
      <xdr:spPr>
        <a:xfrm>
          <a:off x="11373594" y="3182471"/>
          <a:ext cx="3847717" cy="264736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D1719"/>
    <pageSetUpPr fitToPage="1"/>
  </sheetPr>
  <dimension ref="B1:M34"/>
  <sheetViews>
    <sheetView showGridLines="0" workbookViewId="0">
      <selection activeCell="A1" sqref="A1"/>
    </sheetView>
  </sheetViews>
  <sheetFormatPr baseColWidth="10" defaultColWidth="8.88671875" defaultRowHeight="14.4" x14ac:dyDescent="0.3"/>
  <cols>
    <col min="1" max="1" width="9.21875" customWidth="1"/>
    <col min="2" max="2" width="8" customWidth="1"/>
    <col min="3" max="3" width="33.6640625" customWidth="1"/>
    <col min="4" max="4" width="10.6640625" customWidth="1"/>
    <col min="5" max="12" width="8.88671875" customWidth="1"/>
    <col min="13" max="13" width="9.21875" customWidth="1"/>
    <col min="14" max="27" width="8.88671875" customWidth="1"/>
  </cols>
  <sheetData>
    <row r="1" spans="2:13" ht="12.75" customHeight="1" x14ac:dyDescent="0.3">
      <c r="B1" s="134"/>
      <c r="C1" s="134"/>
    </row>
    <row r="2" spans="2:13" ht="15" customHeight="1" x14ac:dyDescent="0.3">
      <c r="B2" s="134"/>
      <c r="C2" s="134"/>
    </row>
    <row r="3" spans="2:13" ht="12.75" customHeight="1" x14ac:dyDescent="0.3">
      <c r="B3" s="134"/>
      <c r="C3" s="134"/>
    </row>
    <row r="4" spans="2:13" ht="18.75" customHeight="1" x14ac:dyDescent="0.3"/>
    <row r="5" spans="2:13" ht="12.75" customHeight="1" x14ac:dyDescent="0.3"/>
    <row r="6" spans="2:13" x14ac:dyDescent="0.3">
      <c r="B6" s="52"/>
      <c r="C6" s="53"/>
      <c r="D6" s="53"/>
      <c r="E6" s="53"/>
      <c r="F6" s="53"/>
      <c r="G6" s="53"/>
      <c r="H6" s="53"/>
      <c r="I6" s="53"/>
      <c r="J6" s="53"/>
      <c r="K6" s="53"/>
      <c r="L6" s="53"/>
      <c r="M6" s="54"/>
    </row>
    <row r="7" spans="2:13" x14ac:dyDescent="0.3">
      <c r="B7" s="55"/>
      <c r="M7" s="56"/>
    </row>
    <row r="8" spans="2:13" ht="22.5" customHeight="1" x14ac:dyDescent="0.35">
      <c r="B8" s="55"/>
      <c r="C8" s="137" t="s">
        <v>130</v>
      </c>
      <c r="D8" s="133"/>
      <c r="E8" s="133"/>
      <c r="F8" s="133"/>
      <c r="G8" s="133"/>
      <c r="H8" s="133"/>
      <c r="I8" s="133"/>
      <c r="J8" s="133"/>
      <c r="K8" s="133"/>
      <c r="L8" s="133"/>
      <c r="M8" s="56"/>
    </row>
    <row r="9" spans="2:13" ht="10.199999999999999" customHeight="1" x14ac:dyDescent="0.35">
      <c r="B9" s="55"/>
      <c r="C9" s="57"/>
      <c r="M9" s="56"/>
    </row>
    <row r="10" spans="2:13" ht="15" customHeight="1" x14ac:dyDescent="0.3">
      <c r="B10" s="55"/>
      <c r="C10" s="135" t="s">
        <v>129</v>
      </c>
      <c r="D10" s="133"/>
      <c r="E10" s="133"/>
      <c r="F10" s="133"/>
      <c r="G10" s="133"/>
      <c r="H10" s="133"/>
      <c r="I10" s="133"/>
      <c r="J10" s="133"/>
      <c r="K10" s="133"/>
      <c r="L10" s="133"/>
      <c r="M10" s="56"/>
    </row>
    <row r="11" spans="2:13" x14ac:dyDescent="0.3">
      <c r="B11" s="55"/>
      <c r="C11" s="133"/>
      <c r="D11" s="133"/>
      <c r="E11" s="133"/>
      <c r="F11" s="133"/>
      <c r="G11" s="133"/>
      <c r="H11" s="133"/>
      <c r="I11" s="133"/>
      <c r="J11" s="133"/>
      <c r="K11" s="133"/>
      <c r="L11" s="133"/>
      <c r="M11" s="56"/>
    </row>
    <row r="12" spans="2:13" x14ac:dyDescent="0.3">
      <c r="B12" s="55"/>
      <c r="C12" s="133"/>
      <c r="D12" s="133"/>
      <c r="E12" s="133"/>
      <c r="F12" s="133"/>
      <c r="G12" s="133"/>
      <c r="H12" s="133"/>
      <c r="I12" s="133"/>
      <c r="J12" s="133"/>
      <c r="K12" s="133"/>
      <c r="L12" s="133"/>
      <c r="M12" s="56"/>
    </row>
    <row r="13" spans="2:13" x14ac:dyDescent="0.3">
      <c r="B13" s="55"/>
      <c r="C13" s="133"/>
      <c r="D13" s="133"/>
      <c r="E13" s="133"/>
      <c r="F13" s="133"/>
      <c r="G13" s="133"/>
      <c r="H13" s="133"/>
      <c r="I13" s="133"/>
      <c r="J13" s="133"/>
      <c r="K13" s="133"/>
      <c r="L13" s="133"/>
      <c r="M13" s="56"/>
    </row>
    <row r="14" spans="2:13" x14ac:dyDescent="0.3">
      <c r="B14" s="55"/>
      <c r="C14" s="133"/>
      <c r="D14" s="133"/>
      <c r="E14" s="133"/>
      <c r="F14" s="133"/>
      <c r="G14" s="133"/>
      <c r="H14" s="133"/>
      <c r="I14" s="133"/>
      <c r="J14" s="133"/>
      <c r="K14" s="133"/>
      <c r="L14" s="133"/>
      <c r="M14" s="56"/>
    </row>
    <row r="15" spans="2:13" x14ac:dyDescent="0.3">
      <c r="B15" s="55"/>
      <c r="C15" s="133"/>
      <c r="D15" s="133"/>
      <c r="E15" s="133"/>
      <c r="F15" s="133"/>
      <c r="G15" s="133"/>
      <c r="H15" s="133"/>
      <c r="I15" s="133"/>
      <c r="J15" s="133"/>
      <c r="K15" s="133"/>
      <c r="L15" s="133"/>
      <c r="M15" s="56"/>
    </row>
    <row r="16" spans="2:13" x14ac:dyDescent="0.3">
      <c r="B16" s="55"/>
      <c r="C16" s="133"/>
      <c r="D16" s="133"/>
      <c r="E16" s="133"/>
      <c r="F16" s="133"/>
      <c r="G16" s="133"/>
      <c r="H16" s="133"/>
      <c r="I16" s="133"/>
      <c r="J16" s="133"/>
      <c r="K16" s="133"/>
      <c r="L16" s="133"/>
      <c r="M16" s="56"/>
    </row>
    <row r="17" spans="2:13" x14ac:dyDescent="0.3">
      <c r="B17" s="55"/>
      <c r="C17" s="133"/>
      <c r="D17" s="133"/>
      <c r="E17" s="133"/>
      <c r="F17" s="133"/>
      <c r="G17" s="133"/>
      <c r="H17" s="133"/>
      <c r="I17" s="133"/>
      <c r="J17" s="133"/>
      <c r="K17" s="133"/>
      <c r="L17" s="133"/>
      <c r="M17" s="56"/>
    </row>
    <row r="18" spans="2:13" x14ac:dyDescent="0.3">
      <c r="B18" s="55"/>
      <c r="C18" s="133"/>
      <c r="D18" s="133"/>
      <c r="E18" s="133"/>
      <c r="F18" s="133"/>
      <c r="G18" s="133"/>
      <c r="H18" s="133"/>
      <c r="I18" s="133"/>
      <c r="J18" s="133"/>
      <c r="K18" s="133"/>
      <c r="L18" s="133"/>
      <c r="M18" s="56"/>
    </row>
    <row r="19" spans="2:13" x14ac:dyDescent="0.3">
      <c r="B19" s="55"/>
      <c r="C19" s="133"/>
      <c r="D19" s="133"/>
      <c r="E19" s="133"/>
      <c r="F19" s="133"/>
      <c r="G19" s="133"/>
      <c r="H19" s="133"/>
      <c r="I19" s="133"/>
      <c r="J19" s="133"/>
      <c r="K19" s="133"/>
      <c r="L19" s="133"/>
      <c r="M19" s="56"/>
    </row>
    <row r="20" spans="2:13" x14ac:dyDescent="0.3">
      <c r="B20" s="55"/>
      <c r="C20" s="133"/>
      <c r="D20" s="133"/>
      <c r="E20" s="133"/>
      <c r="F20" s="133"/>
      <c r="G20" s="133"/>
      <c r="H20" s="133"/>
      <c r="I20" s="133"/>
      <c r="J20" s="133"/>
      <c r="K20" s="133"/>
      <c r="L20" s="133"/>
      <c r="M20" s="56"/>
    </row>
    <row r="21" spans="2:13" x14ac:dyDescent="0.3">
      <c r="B21" s="55"/>
      <c r="C21" s="133"/>
      <c r="D21" s="133"/>
      <c r="E21" s="133"/>
      <c r="F21" s="133"/>
      <c r="G21" s="133"/>
      <c r="H21" s="133"/>
      <c r="I21" s="133"/>
      <c r="J21" s="133"/>
      <c r="K21" s="133"/>
      <c r="L21" s="133"/>
      <c r="M21" s="56"/>
    </row>
    <row r="22" spans="2:13" x14ac:dyDescent="0.3">
      <c r="B22" s="55"/>
      <c r="C22" s="133"/>
      <c r="D22" s="133"/>
      <c r="E22" s="133"/>
      <c r="F22" s="133"/>
      <c r="G22" s="133"/>
      <c r="H22" s="133"/>
      <c r="I22" s="133"/>
      <c r="J22" s="133"/>
      <c r="K22" s="133"/>
      <c r="L22" s="133"/>
      <c r="M22" s="56"/>
    </row>
    <row r="23" spans="2:13" x14ac:dyDescent="0.3">
      <c r="B23" s="55"/>
      <c r="C23" s="133"/>
      <c r="D23" s="133"/>
      <c r="E23" s="133"/>
      <c r="F23" s="133"/>
      <c r="G23" s="133"/>
      <c r="H23" s="133"/>
      <c r="I23" s="133"/>
      <c r="J23" s="133"/>
      <c r="K23" s="133"/>
      <c r="L23" s="133"/>
      <c r="M23" s="56"/>
    </row>
    <row r="24" spans="2:13" x14ac:dyDescent="0.3">
      <c r="B24" s="55"/>
      <c r="C24" s="133"/>
      <c r="D24" s="133"/>
      <c r="E24" s="133"/>
      <c r="F24" s="133"/>
      <c r="G24" s="133"/>
      <c r="H24" s="133"/>
      <c r="I24" s="133"/>
      <c r="J24" s="133"/>
      <c r="K24" s="133"/>
      <c r="L24" s="133"/>
      <c r="M24" s="56"/>
    </row>
    <row r="25" spans="2:13" x14ac:dyDescent="0.3">
      <c r="B25" s="55"/>
      <c r="C25" s="133"/>
      <c r="D25" s="133"/>
      <c r="E25" s="133"/>
      <c r="F25" s="133"/>
      <c r="G25" s="133"/>
      <c r="H25" s="133"/>
      <c r="I25" s="133"/>
      <c r="J25" s="133"/>
      <c r="K25" s="133"/>
      <c r="L25" s="133"/>
      <c r="M25" s="56"/>
    </row>
    <row r="26" spans="2:13" x14ac:dyDescent="0.3">
      <c r="B26" s="55"/>
      <c r="C26" s="133"/>
      <c r="D26" s="133"/>
      <c r="E26" s="133"/>
      <c r="F26" s="133"/>
      <c r="G26" s="133"/>
      <c r="H26" s="133"/>
      <c r="I26" s="133"/>
      <c r="J26" s="133"/>
      <c r="K26" s="133"/>
      <c r="L26" s="133"/>
      <c r="M26" s="56"/>
    </row>
    <row r="27" spans="2:13" x14ac:dyDescent="0.3">
      <c r="B27" s="55"/>
      <c r="C27" s="133"/>
      <c r="D27" s="133"/>
      <c r="E27" s="133"/>
      <c r="F27" s="133"/>
      <c r="G27" s="133"/>
      <c r="H27" s="133"/>
      <c r="I27" s="133"/>
      <c r="J27" s="133"/>
      <c r="K27" s="133"/>
      <c r="L27" s="133"/>
      <c r="M27" s="56"/>
    </row>
    <row r="28" spans="2:13" x14ac:dyDescent="0.3">
      <c r="B28" s="55"/>
      <c r="C28" s="133"/>
      <c r="D28" s="133"/>
      <c r="E28" s="133"/>
      <c r="F28" s="133"/>
      <c r="G28" s="133"/>
      <c r="H28" s="133"/>
      <c r="I28" s="133"/>
      <c r="J28" s="133"/>
      <c r="K28" s="133"/>
      <c r="L28" s="133"/>
      <c r="M28" s="56"/>
    </row>
    <row r="29" spans="2:13" x14ac:dyDescent="0.3">
      <c r="B29" s="55"/>
      <c r="C29" s="133"/>
      <c r="D29" s="133"/>
      <c r="E29" s="133"/>
      <c r="F29" s="133"/>
      <c r="G29" s="133"/>
      <c r="H29" s="133"/>
      <c r="I29" s="133"/>
      <c r="J29" s="133"/>
      <c r="K29" s="133"/>
      <c r="L29" s="133"/>
      <c r="M29" s="56"/>
    </row>
    <row r="30" spans="2:13" x14ac:dyDescent="0.3">
      <c r="B30" s="55"/>
      <c r="C30" s="133"/>
      <c r="D30" s="133"/>
      <c r="E30" s="133"/>
      <c r="F30" s="133"/>
      <c r="G30" s="133"/>
      <c r="H30" s="133"/>
      <c r="I30" s="133"/>
      <c r="J30" s="133"/>
      <c r="K30" s="133"/>
      <c r="L30" s="133"/>
      <c r="M30" s="56"/>
    </row>
    <row r="31" spans="2:13" x14ac:dyDescent="0.3">
      <c r="B31" s="55"/>
      <c r="C31" s="136"/>
      <c r="D31" s="133"/>
      <c r="E31" s="133"/>
      <c r="F31" s="133"/>
      <c r="G31" s="133"/>
      <c r="H31" s="133"/>
      <c r="I31" s="133"/>
      <c r="J31" s="133"/>
      <c r="K31" s="133"/>
      <c r="L31" s="133"/>
      <c r="M31" s="56"/>
    </row>
    <row r="32" spans="2:13" x14ac:dyDescent="0.3">
      <c r="B32" s="55"/>
      <c r="C32" s="132" t="s">
        <v>81</v>
      </c>
      <c r="D32" s="133"/>
      <c r="E32" s="133"/>
      <c r="F32" s="133"/>
      <c r="G32" s="133"/>
      <c r="H32" s="133"/>
      <c r="I32" s="133"/>
      <c r="J32" s="133"/>
      <c r="K32" s="133"/>
      <c r="L32" s="133"/>
      <c r="M32" s="56"/>
    </row>
    <row r="33" spans="2:13" x14ac:dyDescent="0.3">
      <c r="B33" s="55"/>
      <c r="C33" s="132" t="s">
        <v>82</v>
      </c>
      <c r="D33" s="133"/>
      <c r="E33" s="133"/>
      <c r="F33" s="133"/>
      <c r="G33" s="133"/>
      <c r="H33" s="133"/>
      <c r="I33" s="133"/>
      <c r="J33" s="133"/>
      <c r="K33" s="133"/>
      <c r="L33" s="133"/>
      <c r="M33" s="56"/>
    </row>
    <row r="34" spans="2:13" ht="15" customHeight="1" thickBot="1" x14ac:dyDescent="0.35">
      <c r="B34" s="59"/>
      <c r="C34" s="60"/>
      <c r="D34" s="61"/>
      <c r="E34" s="61"/>
      <c r="F34" s="61"/>
      <c r="G34" s="61"/>
      <c r="H34" s="61"/>
      <c r="I34" s="61"/>
      <c r="J34" s="61"/>
      <c r="K34" s="61"/>
      <c r="L34" s="61"/>
      <c r="M34" s="62"/>
    </row>
  </sheetData>
  <sheetProtection algorithmName="SHA-512" hashValue="Sdhqm7WTb2SlQHI8HOqLFGP7lt3zrNKfm8EASzd8TLHh7tjCIjjgYbW+hh5otQU54Z3bJzmUls8tTS8G+I1lCw==" saltValue="uC+zBjNbAjvPFBPRhx1vKQ==" spinCount="100000" sheet="1" objects="1" scenarios="1"/>
  <mergeCells count="6">
    <mergeCell ref="C33:L33"/>
    <mergeCell ref="C32:L32"/>
    <mergeCell ref="B1:C3"/>
    <mergeCell ref="C10:L30"/>
    <mergeCell ref="C31:L31"/>
    <mergeCell ref="C8:L8"/>
  </mergeCells>
  <pageMargins left="0.75" right="0.75" top="1" bottom="1" header="0.5" footer="0.5"/>
  <pageSetup paperSize="9" scale="6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69B11-B70A-4DE1-9D1F-9BF507DE189C}">
  <sheetPr>
    <tabColor rgb="FFCD1719"/>
    <pageSetUpPr fitToPage="1"/>
  </sheetPr>
  <dimension ref="B1:M78"/>
  <sheetViews>
    <sheetView tabSelected="1" showGridLines="0" zoomScale="85" zoomScaleNormal="85" workbookViewId="0">
      <selection activeCell="A1" sqref="A1"/>
    </sheetView>
  </sheetViews>
  <sheetFormatPr baseColWidth="10" defaultColWidth="8.88671875" defaultRowHeight="14.4" x14ac:dyDescent="0.3"/>
  <cols>
    <col min="1" max="1" width="9.21875" customWidth="1"/>
    <col min="2" max="2" width="8" customWidth="1"/>
    <col min="3" max="3" width="33.6640625" customWidth="1"/>
    <col min="4" max="4" width="10.6640625" customWidth="1"/>
    <col min="5" max="12" width="8.88671875" customWidth="1"/>
    <col min="13" max="13" width="9.21875" customWidth="1"/>
    <col min="14" max="27" width="8.88671875" customWidth="1"/>
  </cols>
  <sheetData>
    <row r="1" spans="2:13" ht="18.75" customHeight="1" x14ac:dyDescent="0.3"/>
    <row r="2" spans="2:13" ht="12.75" customHeight="1" thickBot="1" x14ac:dyDescent="0.35"/>
    <row r="3" spans="2:13" x14ac:dyDescent="0.3">
      <c r="B3" s="52"/>
      <c r="C3" s="53"/>
      <c r="D3" s="53"/>
      <c r="E3" s="53"/>
      <c r="F3" s="53"/>
      <c r="G3" s="53"/>
      <c r="H3" s="53"/>
      <c r="I3" s="53"/>
      <c r="J3" s="53"/>
      <c r="K3" s="53"/>
      <c r="L3" s="53"/>
      <c r="M3" s="54"/>
    </row>
    <row r="4" spans="2:13" ht="32.549999999999997" customHeight="1" x14ac:dyDescent="0.3">
      <c r="B4" s="55"/>
      <c r="C4" s="142" t="s">
        <v>136</v>
      </c>
      <c r="D4" s="133"/>
      <c r="E4" s="133"/>
      <c r="F4" s="133"/>
      <c r="G4" s="133"/>
      <c r="H4" s="133"/>
      <c r="I4" s="133"/>
      <c r="J4" s="133"/>
      <c r="K4" s="133"/>
      <c r="L4" s="133"/>
      <c r="M4" s="56"/>
    </row>
    <row r="5" spans="2:13" x14ac:dyDescent="0.3">
      <c r="B5" s="55"/>
      <c r="M5" s="56"/>
    </row>
    <row r="6" hidden="1" spans="2:13" x14ac:dyDescent="0.3">
      <c r="B6" s="55"/>
      <c r="C6" s="143" t="s">
        <v>189</v>
      </c>
      <c r="D6" s="143"/>
      <c r="E6" s="143"/>
      <c r="F6" s="143"/>
      <c r="G6" s="143"/>
      <c r="H6" s="143"/>
      <c r="I6" s="143"/>
      <c r="J6" s="143"/>
      <c r="K6" s="143"/>
      <c r="L6" s="143"/>
      <c r="M6" s="56"/>
    </row>
    <row r="7" spans="2:13" x14ac:dyDescent="0.3">
      <c r="B7" s="55"/>
      <c r="M7" s="56"/>
    </row>
    <row r="8" spans="2:13" ht="22.5" customHeight="1" x14ac:dyDescent="0.35">
      <c r="B8" s="55"/>
      <c r="C8" s="137" t="s">
        <v>132</v>
      </c>
      <c r="D8" s="133"/>
      <c r="E8" s="133"/>
      <c r="F8" s="133"/>
      <c r="G8" s="133"/>
      <c r="H8" s="133"/>
      <c r="I8" s="133"/>
      <c r="J8" s="133"/>
      <c r="K8" s="133"/>
      <c r="L8" s="133"/>
      <c r="M8" s="56"/>
    </row>
    <row r="9" spans="2:13" ht="10.199999999999999" customHeight="1" x14ac:dyDescent="0.35">
      <c r="B9" s="55"/>
      <c r="C9" s="57"/>
      <c r="M9" s="56"/>
    </row>
    <row r="10" spans="2:13" ht="15" customHeight="1" x14ac:dyDescent="0.3">
      <c r="B10" s="55"/>
      <c r="C10" s="138" t="s">
        <v>133</v>
      </c>
      <c r="D10" s="139"/>
      <c r="E10" s="139"/>
      <c r="F10" s="139"/>
      <c r="G10" s="139"/>
      <c r="H10" s="139"/>
      <c r="I10" s="139"/>
      <c r="J10" s="139"/>
      <c r="K10" s="139"/>
      <c r="L10" s="139"/>
      <c r="M10" s="56"/>
    </row>
    <row r="11" spans="2:13" x14ac:dyDescent="0.3">
      <c r="B11" s="55"/>
      <c r="C11" s="139"/>
      <c r="D11" s="139"/>
      <c r="E11" s="139"/>
      <c r="F11" s="139"/>
      <c r="G11" s="139"/>
      <c r="H11" s="139"/>
      <c r="I11" s="139"/>
      <c r="J11" s="139"/>
      <c r="K11" s="139"/>
      <c r="L11" s="139"/>
      <c r="M11" s="56"/>
    </row>
    <row r="12" spans="2:13" x14ac:dyDescent="0.3">
      <c r="B12" s="55"/>
      <c r="C12" s="139"/>
      <c r="D12" s="139"/>
      <c r="E12" s="139"/>
      <c r="F12" s="139"/>
      <c r="G12" s="139"/>
      <c r="H12" s="139"/>
      <c r="I12" s="139"/>
      <c r="J12" s="139"/>
      <c r="K12" s="139"/>
      <c r="L12" s="139"/>
      <c r="M12" s="56"/>
    </row>
    <row r="13" spans="2:13" x14ac:dyDescent="0.3">
      <c r="B13" s="55"/>
      <c r="C13" s="139"/>
      <c r="D13" s="139"/>
      <c r="E13" s="139"/>
      <c r="F13" s="139"/>
      <c r="G13" s="139"/>
      <c r="H13" s="139"/>
      <c r="I13" s="139"/>
      <c r="J13" s="139"/>
      <c r="K13" s="139"/>
      <c r="L13" s="139"/>
      <c r="M13" s="56"/>
    </row>
    <row r="14" spans="2:13" x14ac:dyDescent="0.3">
      <c r="B14" s="55"/>
      <c r="C14" s="139"/>
      <c r="D14" s="139"/>
      <c r="E14" s="139"/>
      <c r="F14" s="139"/>
      <c r="G14" s="139"/>
      <c r="H14" s="139"/>
      <c r="I14" s="139"/>
      <c r="J14" s="139"/>
      <c r="K14" s="139"/>
      <c r="L14" s="139"/>
      <c r="M14" s="56"/>
    </row>
    <row r="15" spans="2:13" x14ac:dyDescent="0.3">
      <c r="B15" s="55"/>
      <c r="C15" s="139"/>
      <c r="D15" s="139"/>
      <c r="E15" s="139"/>
      <c r="F15" s="139"/>
      <c r="G15" s="139"/>
      <c r="H15" s="139"/>
      <c r="I15" s="139"/>
      <c r="J15" s="139"/>
      <c r="K15" s="139"/>
      <c r="L15" s="139"/>
      <c r="M15" s="56"/>
    </row>
    <row r="16" spans="2:13" x14ac:dyDescent="0.3">
      <c r="B16" s="55"/>
      <c r="C16" s="139"/>
      <c r="D16" s="139"/>
      <c r="E16" s="139"/>
      <c r="F16" s="139"/>
      <c r="G16" s="139"/>
      <c r="H16" s="139"/>
      <c r="I16" s="139"/>
      <c r="J16" s="139"/>
      <c r="K16" s="139"/>
      <c r="L16" s="139"/>
      <c r="M16" s="56"/>
    </row>
    <row r="17" spans="2:13" x14ac:dyDescent="0.3">
      <c r="B17" s="55"/>
      <c r="C17" s="139"/>
      <c r="D17" s="139"/>
      <c r="E17" s="139"/>
      <c r="F17" s="139"/>
      <c r="G17" s="139"/>
      <c r="H17" s="139"/>
      <c r="I17" s="139"/>
      <c r="J17" s="139"/>
      <c r="K17" s="139"/>
      <c r="L17" s="139"/>
      <c r="M17" s="56"/>
    </row>
    <row r="18" spans="2:13" x14ac:dyDescent="0.3">
      <c r="B18" s="55"/>
      <c r="C18" s="139"/>
      <c r="D18" s="139"/>
      <c r="E18" s="139"/>
      <c r="F18" s="139"/>
      <c r="G18" s="139"/>
      <c r="H18" s="139"/>
      <c r="I18" s="139"/>
      <c r="J18" s="139"/>
      <c r="K18" s="139"/>
      <c r="L18" s="139"/>
      <c r="M18" s="56"/>
    </row>
    <row r="19" spans="2:13" x14ac:dyDescent="0.3">
      <c r="B19" s="55"/>
      <c r="C19" s="139"/>
      <c r="D19" s="139"/>
      <c r="E19" s="139"/>
      <c r="F19" s="139"/>
      <c r="G19" s="139"/>
      <c r="H19" s="139"/>
      <c r="I19" s="139"/>
      <c r="J19" s="139"/>
      <c r="K19" s="139"/>
      <c r="L19" s="139"/>
      <c r="M19" s="56"/>
    </row>
    <row r="20" spans="2:13" x14ac:dyDescent="0.3">
      <c r="B20" s="55"/>
      <c r="C20" s="139"/>
      <c r="D20" s="139"/>
      <c r="E20" s="139"/>
      <c r="F20" s="139"/>
      <c r="G20" s="139"/>
      <c r="H20" s="139"/>
      <c r="I20" s="139"/>
      <c r="J20" s="139"/>
      <c r="K20" s="139"/>
      <c r="L20" s="139"/>
      <c r="M20" s="56"/>
    </row>
    <row r="21" spans="2:13" x14ac:dyDescent="0.3">
      <c r="B21" s="55"/>
      <c r="C21" s="139"/>
      <c r="D21" s="139"/>
      <c r="E21" s="139"/>
      <c r="F21" s="139"/>
      <c r="G21" s="139"/>
      <c r="H21" s="139"/>
      <c r="I21" s="139"/>
      <c r="J21" s="139"/>
      <c r="K21" s="139"/>
      <c r="L21" s="139"/>
      <c r="M21" s="56"/>
    </row>
    <row r="22" spans="2:13" x14ac:dyDescent="0.3">
      <c r="B22" s="55"/>
      <c r="C22" s="139"/>
      <c r="D22" s="139"/>
      <c r="E22" s="139"/>
      <c r="F22" s="139"/>
      <c r="G22" s="139"/>
      <c r="H22" s="139"/>
      <c r="I22" s="139"/>
      <c r="J22" s="139"/>
      <c r="K22" s="139"/>
      <c r="L22" s="139"/>
      <c r="M22" s="56"/>
    </row>
    <row r="23" spans="2:13" x14ac:dyDescent="0.3">
      <c r="B23" s="55"/>
      <c r="C23" s="139"/>
      <c r="D23" s="139"/>
      <c r="E23" s="139"/>
      <c r="F23" s="139"/>
      <c r="G23" s="139"/>
      <c r="H23" s="139"/>
      <c r="I23" s="139"/>
      <c r="J23" s="139"/>
      <c r="K23" s="139"/>
      <c r="L23" s="139"/>
      <c r="M23" s="56"/>
    </row>
    <row r="24" spans="2:13" x14ac:dyDescent="0.3">
      <c r="B24" s="55"/>
      <c r="C24" s="139"/>
      <c r="D24" s="139"/>
      <c r="E24" s="139"/>
      <c r="F24" s="139"/>
      <c r="G24" s="139"/>
      <c r="H24" s="139"/>
      <c r="I24" s="139"/>
      <c r="J24" s="139"/>
      <c r="K24" s="139"/>
      <c r="L24" s="139"/>
      <c r="M24" s="56"/>
    </row>
    <row r="25" spans="2:13" s="63" customFormat="1" x14ac:dyDescent="0.3">
      <c r="B25" s="55"/>
      <c r="C25" s="140"/>
      <c r="D25" s="140"/>
      <c r="E25" s="140"/>
      <c r="F25" s="140"/>
      <c r="G25" s="140"/>
      <c r="H25" s="140"/>
      <c r="I25" s="140"/>
      <c r="J25" s="140"/>
      <c r="K25" s="140"/>
      <c r="L25" s="140"/>
      <c r="M25" s="56"/>
    </row>
    <row r="26" spans="2:13" s="63" customFormat="1" x14ac:dyDescent="0.3">
      <c r="B26" s="55"/>
      <c r="C26" s="140"/>
      <c r="D26" s="140"/>
      <c r="E26" s="140"/>
      <c r="F26" s="140"/>
      <c r="G26" s="140"/>
      <c r="H26" s="140"/>
      <c r="I26" s="140"/>
      <c r="J26" s="140"/>
      <c r="K26" s="140"/>
      <c r="L26" s="140"/>
      <c r="M26" s="56"/>
    </row>
    <row r="27" spans="2:13" s="63" customFormat="1" x14ac:dyDescent="0.3">
      <c r="B27" s="55"/>
      <c r="C27" s="140"/>
      <c r="D27" s="140"/>
      <c r="E27" s="140"/>
      <c r="F27" s="140"/>
      <c r="G27" s="140"/>
      <c r="H27" s="140"/>
      <c r="I27" s="140"/>
      <c r="J27" s="140"/>
      <c r="K27" s="140"/>
      <c r="L27" s="140"/>
      <c r="M27" s="56"/>
    </row>
    <row r="28" spans="2:13" s="63" customFormat="1" x14ac:dyDescent="0.3">
      <c r="B28" s="55"/>
      <c r="C28" s="140"/>
      <c r="D28" s="140"/>
      <c r="E28" s="140"/>
      <c r="F28" s="140"/>
      <c r="G28" s="140"/>
      <c r="H28" s="140"/>
      <c r="I28" s="140"/>
      <c r="J28" s="140"/>
      <c r="K28" s="140"/>
      <c r="L28" s="140"/>
      <c r="M28" s="56"/>
    </row>
    <row r="29" spans="2:13" x14ac:dyDescent="0.3">
      <c r="B29" s="55"/>
      <c r="C29" s="139"/>
      <c r="D29" s="139"/>
      <c r="E29" s="139"/>
      <c r="F29" s="139"/>
      <c r="G29" s="139"/>
      <c r="H29" s="139"/>
      <c r="I29" s="139"/>
      <c r="J29" s="139"/>
      <c r="K29" s="139"/>
      <c r="L29" s="139"/>
      <c r="M29" s="56"/>
    </row>
    <row r="30" spans="2:13" s="63" customFormat="1" x14ac:dyDescent="0.3">
      <c r="B30" s="55"/>
      <c r="C30" s="140"/>
      <c r="D30" s="140"/>
      <c r="E30" s="140"/>
      <c r="F30" s="140"/>
      <c r="G30" s="140"/>
      <c r="H30" s="140"/>
      <c r="I30" s="140"/>
      <c r="J30" s="140"/>
      <c r="K30" s="140"/>
      <c r="L30" s="140"/>
      <c r="M30" s="56"/>
    </row>
    <row r="31" spans="2:13" ht="24" customHeight="1" x14ac:dyDescent="0.3">
      <c r="B31" s="55"/>
      <c r="C31" s="139"/>
      <c r="D31" s="139"/>
      <c r="E31" s="139"/>
      <c r="F31" s="139"/>
      <c r="G31" s="139"/>
      <c r="H31" s="139"/>
      <c r="I31" s="139"/>
      <c r="J31" s="139"/>
      <c r="K31" s="139"/>
      <c r="L31" s="139"/>
      <c r="M31" s="56"/>
    </row>
    <row r="32" spans="2:13" s="63" customFormat="1" ht="14.55" customHeight="1" x14ac:dyDescent="0.3">
      <c r="B32" s="55"/>
      <c r="D32" s="141" t="s">
        <v>135</v>
      </c>
      <c r="E32" s="141"/>
      <c r="F32" s="141"/>
      <c r="G32" s="141"/>
      <c r="H32" s="141"/>
      <c r="M32" s="56"/>
    </row>
    <row r="33" spans="2:13" s="63" customFormat="1" x14ac:dyDescent="0.3">
      <c r="B33" s="55"/>
      <c r="D33" s="141"/>
      <c r="E33" s="141"/>
      <c r="F33" s="141"/>
      <c r="G33" s="141"/>
      <c r="H33" s="141"/>
      <c r="M33" s="56"/>
    </row>
    <row r="34" spans="2:13" s="63" customFormat="1" ht="24" customHeight="1" x14ac:dyDescent="0.3">
      <c r="B34" s="55"/>
      <c r="C34" s="64"/>
      <c r="D34" s="64"/>
      <c r="E34" s="64"/>
      <c r="F34" s="64"/>
      <c r="G34" s="64"/>
      <c r="H34" s="64"/>
      <c r="I34" s="64"/>
      <c r="J34" s="64"/>
      <c r="K34" s="64"/>
      <c r="L34" s="64"/>
      <c r="M34" s="56"/>
    </row>
    <row r="35" spans="2:13" s="63" customFormat="1" ht="24" customHeight="1" x14ac:dyDescent="0.3">
      <c r="B35" s="55"/>
      <c r="C35" s="64"/>
      <c r="D35" s="64"/>
      <c r="E35" s="64"/>
      <c r="F35" s="64"/>
      <c r="G35" s="64"/>
      <c r="H35" s="64"/>
      <c r="I35" s="64"/>
      <c r="J35" s="64"/>
      <c r="K35" s="64"/>
      <c r="L35" s="64"/>
      <c r="M35" s="56"/>
    </row>
    <row r="36" spans="2:13" ht="22.5" customHeight="1" x14ac:dyDescent="0.35">
      <c r="B36" s="55"/>
      <c r="C36" s="137" t="s">
        <v>131</v>
      </c>
      <c r="D36" s="133"/>
      <c r="E36" s="133"/>
      <c r="F36" s="133"/>
      <c r="G36" s="133"/>
      <c r="H36" s="133"/>
      <c r="I36" s="133"/>
      <c r="J36" s="133"/>
      <c r="K36" s="133"/>
      <c r="L36" s="133"/>
      <c r="M36" s="56"/>
    </row>
    <row r="37" spans="2:13" s="63" customFormat="1" x14ac:dyDescent="0.3">
      <c r="B37" s="55"/>
      <c r="C37" s="58"/>
      <c r="M37" s="56"/>
    </row>
    <row r="38" spans="2:13" ht="15" customHeight="1" x14ac:dyDescent="0.3">
      <c r="B38" s="55"/>
      <c r="C38" s="138" t="s">
        <v>134</v>
      </c>
      <c r="D38" s="139"/>
      <c r="E38" s="139"/>
      <c r="F38" s="139"/>
      <c r="G38" s="139"/>
      <c r="H38" s="139"/>
      <c r="I38" s="139"/>
      <c r="J38" s="139"/>
      <c r="K38" s="139"/>
      <c r="L38" s="139"/>
      <c r="M38" s="56"/>
    </row>
    <row r="39" spans="2:13" x14ac:dyDescent="0.3">
      <c r="B39" s="55"/>
      <c r="C39" s="139"/>
      <c r="D39" s="139"/>
      <c r="E39" s="139"/>
      <c r="F39" s="139"/>
      <c r="G39" s="139"/>
      <c r="H39" s="139"/>
      <c r="I39" s="139"/>
      <c r="J39" s="139"/>
      <c r="K39" s="139"/>
      <c r="L39" s="139"/>
      <c r="M39" s="56"/>
    </row>
    <row r="40" spans="2:13" x14ac:dyDescent="0.3">
      <c r="B40" s="55"/>
      <c r="C40" s="139"/>
      <c r="D40" s="139"/>
      <c r="E40" s="139"/>
      <c r="F40" s="139"/>
      <c r="G40" s="139"/>
      <c r="H40" s="139"/>
      <c r="I40" s="139"/>
      <c r="J40" s="139"/>
      <c r="K40" s="139"/>
      <c r="L40" s="139"/>
      <c r="M40" s="56"/>
    </row>
    <row r="41" spans="2:13" x14ac:dyDescent="0.3">
      <c r="B41" s="55"/>
      <c r="C41" s="139"/>
      <c r="D41" s="139"/>
      <c r="E41" s="139"/>
      <c r="F41" s="139"/>
      <c r="G41" s="139"/>
      <c r="H41" s="139"/>
      <c r="I41" s="139"/>
      <c r="J41" s="139"/>
      <c r="K41" s="139"/>
      <c r="L41" s="139"/>
      <c r="M41" s="56"/>
    </row>
    <row r="42" spans="2:13" x14ac:dyDescent="0.3">
      <c r="B42" s="55"/>
      <c r="C42" s="139"/>
      <c r="D42" s="139"/>
      <c r="E42" s="139"/>
      <c r="F42" s="139"/>
      <c r="G42" s="139"/>
      <c r="H42" s="139"/>
      <c r="I42" s="139"/>
      <c r="J42" s="139"/>
      <c r="K42" s="139"/>
      <c r="L42" s="139"/>
      <c r="M42" s="56"/>
    </row>
    <row r="43" spans="2:13" x14ac:dyDescent="0.3">
      <c r="B43" s="55"/>
      <c r="C43" s="139"/>
      <c r="D43" s="139"/>
      <c r="E43" s="139"/>
      <c r="F43" s="139"/>
      <c r="G43" s="139"/>
      <c r="H43" s="139"/>
      <c r="I43" s="139"/>
      <c r="J43" s="139"/>
      <c r="K43" s="139"/>
      <c r="L43" s="139"/>
      <c r="M43" s="56"/>
    </row>
    <row r="44" spans="2:13" x14ac:dyDescent="0.3">
      <c r="B44" s="55"/>
      <c r="C44" s="139"/>
      <c r="D44" s="139"/>
      <c r="E44" s="139"/>
      <c r="F44" s="139"/>
      <c r="G44" s="139"/>
      <c r="H44" s="139"/>
      <c r="I44" s="139"/>
      <c r="J44" s="139"/>
      <c r="K44" s="139"/>
      <c r="L44" s="139"/>
      <c r="M44" s="56"/>
    </row>
    <row r="45" spans="2:13" x14ac:dyDescent="0.3">
      <c r="B45" s="55"/>
      <c r="C45" s="139"/>
      <c r="D45" s="139"/>
      <c r="E45" s="139"/>
      <c r="F45" s="139"/>
      <c r="G45" s="139"/>
      <c r="H45" s="139"/>
      <c r="I45" s="139"/>
      <c r="J45" s="139"/>
      <c r="K45" s="139"/>
      <c r="L45" s="139"/>
      <c r="M45" s="56"/>
    </row>
    <row r="46" spans="2:13" x14ac:dyDescent="0.3">
      <c r="B46" s="55"/>
      <c r="C46" s="139"/>
      <c r="D46" s="139"/>
      <c r="E46" s="139"/>
      <c r="F46" s="139"/>
      <c r="G46" s="139"/>
      <c r="H46" s="139"/>
      <c r="I46" s="139"/>
      <c r="J46" s="139"/>
      <c r="K46" s="139"/>
      <c r="L46" s="139"/>
      <c r="M46" s="56"/>
    </row>
    <row r="47" spans="2:13" x14ac:dyDescent="0.3">
      <c r="B47" s="55"/>
      <c r="C47" s="139"/>
      <c r="D47" s="139"/>
      <c r="E47" s="139"/>
      <c r="F47" s="139"/>
      <c r="G47" s="139"/>
      <c r="H47" s="139"/>
      <c r="I47" s="139"/>
      <c r="J47" s="139"/>
      <c r="K47" s="139"/>
      <c r="L47" s="139"/>
      <c r="M47" s="56"/>
    </row>
    <row r="48" spans="2:13" x14ac:dyDescent="0.3">
      <c r="B48" s="55"/>
      <c r="C48" s="139"/>
      <c r="D48" s="139"/>
      <c r="E48" s="139"/>
      <c r="F48" s="139"/>
      <c r="G48" s="139"/>
      <c r="H48" s="139"/>
      <c r="I48" s="139"/>
      <c r="J48" s="139"/>
      <c r="K48" s="139"/>
      <c r="L48" s="139"/>
      <c r="M48" s="56"/>
    </row>
    <row r="49" spans="2:13" x14ac:dyDescent="0.3">
      <c r="B49" s="55"/>
      <c r="C49" s="139"/>
      <c r="D49" s="139"/>
      <c r="E49" s="139"/>
      <c r="F49" s="139"/>
      <c r="G49" s="139"/>
      <c r="H49" s="139"/>
      <c r="I49" s="139"/>
      <c r="J49" s="139"/>
      <c r="K49" s="139"/>
      <c r="L49" s="139"/>
      <c r="M49" s="56"/>
    </row>
    <row r="50" spans="2:13" x14ac:dyDescent="0.3">
      <c r="B50" s="55"/>
      <c r="C50" s="139"/>
      <c r="D50" s="139"/>
      <c r="E50" s="139"/>
      <c r="F50" s="139"/>
      <c r="G50" s="139"/>
      <c r="H50" s="139"/>
      <c r="I50" s="139"/>
      <c r="J50" s="139"/>
      <c r="K50" s="139"/>
      <c r="L50" s="139"/>
      <c r="M50" s="56"/>
    </row>
    <row r="51" spans="2:13" x14ac:dyDescent="0.3">
      <c r="B51" s="55"/>
      <c r="C51" s="139"/>
      <c r="D51" s="139"/>
      <c r="E51" s="139"/>
      <c r="F51" s="139"/>
      <c r="G51" s="139"/>
      <c r="H51" s="139"/>
      <c r="I51" s="139"/>
      <c r="J51" s="139"/>
      <c r="K51" s="139"/>
      <c r="L51" s="139"/>
      <c r="M51" s="56"/>
    </row>
    <row r="52" spans="2:13" s="63" customFormat="1" x14ac:dyDescent="0.3">
      <c r="B52" s="55"/>
      <c r="C52" s="140"/>
      <c r="D52" s="140"/>
      <c r="E52" s="140"/>
      <c r="F52" s="140"/>
      <c r="G52" s="140"/>
      <c r="H52" s="140"/>
      <c r="I52" s="140"/>
      <c r="J52" s="140"/>
      <c r="K52" s="140"/>
      <c r="L52" s="140"/>
      <c r="M52" s="56"/>
    </row>
    <row r="53" spans="2:13" s="63" customFormat="1" x14ac:dyDescent="0.3">
      <c r="B53" s="55"/>
      <c r="C53" s="140"/>
      <c r="D53" s="140"/>
      <c r="E53" s="140"/>
      <c r="F53" s="140"/>
      <c r="G53" s="140"/>
      <c r="H53" s="140"/>
      <c r="I53" s="140"/>
      <c r="J53" s="140"/>
      <c r="K53" s="140"/>
      <c r="L53" s="140"/>
      <c r="M53" s="56"/>
    </row>
    <row r="54" spans="2:13" s="63" customFormat="1" x14ac:dyDescent="0.3">
      <c r="B54" s="55"/>
      <c r="C54" s="140"/>
      <c r="D54" s="140"/>
      <c r="E54" s="140"/>
      <c r="F54" s="140"/>
      <c r="G54" s="140"/>
      <c r="H54" s="140"/>
      <c r="I54" s="140"/>
      <c r="J54" s="140"/>
      <c r="K54" s="140"/>
      <c r="L54" s="140"/>
      <c r="M54" s="56"/>
    </row>
    <row r="55" spans="2:13" s="63" customFormat="1" x14ac:dyDescent="0.3">
      <c r="B55" s="55"/>
      <c r="C55" s="140"/>
      <c r="D55" s="140"/>
      <c r="E55" s="140"/>
      <c r="F55" s="140"/>
      <c r="G55" s="140"/>
      <c r="H55" s="140"/>
      <c r="I55" s="140"/>
      <c r="J55" s="140"/>
      <c r="K55" s="140"/>
      <c r="L55" s="140"/>
      <c r="M55" s="56"/>
    </row>
    <row r="56" spans="2:13" s="63" customFormat="1" x14ac:dyDescent="0.3">
      <c r="B56" s="55"/>
      <c r="C56" s="140"/>
      <c r="D56" s="140"/>
      <c r="E56" s="140"/>
      <c r="F56" s="140"/>
      <c r="G56" s="140"/>
      <c r="H56" s="140"/>
      <c r="I56" s="140"/>
      <c r="J56" s="140"/>
      <c r="K56" s="140"/>
      <c r="L56" s="140"/>
      <c r="M56" s="56"/>
    </row>
    <row r="57" spans="2:13" s="63" customFormat="1" x14ac:dyDescent="0.3">
      <c r="B57" s="55"/>
      <c r="C57" s="140"/>
      <c r="D57" s="140"/>
      <c r="E57" s="140"/>
      <c r="F57" s="140"/>
      <c r="G57" s="140"/>
      <c r="H57" s="140"/>
      <c r="I57" s="140"/>
      <c r="J57" s="140"/>
      <c r="K57" s="140"/>
      <c r="L57" s="140"/>
      <c r="M57" s="56"/>
    </row>
    <row r="58" spans="2:13" s="63" customFormat="1" x14ac:dyDescent="0.3">
      <c r="B58" s="55"/>
      <c r="C58" s="140"/>
      <c r="D58" s="140"/>
      <c r="E58" s="140"/>
      <c r="F58" s="140"/>
      <c r="G58" s="140"/>
      <c r="H58" s="140"/>
      <c r="I58" s="140"/>
      <c r="J58" s="140"/>
      <c r="K58" s="140"/>
      <c r="L58" s="140"/>
      <c r="M58" s="56"/>
    </row>
    <row r="59" spans="2:13" s="63" customFormat="1" x14ac:dyDescent="0.3">
      <c r="B59" s="55"/>
      <c r="C59" s="140"/>
      <c r="D59" s="140"/>
      <c r="E59" s="140"/>
      <c r="F59" s="140"/>
      <c r="G59" s="140"/>
      <c r="H59" s="140"/>
      <c r="I59" s="140"/>
      <c r="J59" s="140"/>
      <c r="K59" s="140"/>
      <c r="L59" s="140"/>
      <c r="M59" s="56"/>
    </row>
    <row r="60" spans="2:13" s="63" customFormat="1" x14ac:dyDescent="0.3">
      <c r="B60" s="55"/>
      <c r="C60" s="140"/>
      <c r="D60" s="140"/>
      <c r="E60" s="140"/>
      <c r="F60" s="140"/>
      <c r="G60" s="140"/>
      <c r="H60" s="140"/>
      <c r="I60" s="140"/>
      <c r="J60" s="140"/>
      <c r="K60" s="140"/>
      <c r="L60" s="140"/>
      <c r="M60" s="56"/>
    </row>
    <row r="61" spans="2:13" s="63" customFormat="1" x14ac:dyDescent="0.3">
      <c r="B61" s="55"/>
      <c r="C61" s="140"/>
      <c r="D61" s="140"/>
      <c r="E61" s="140"/>
      <c r="F61" s="140"/>
      <c r="G61" s="140"/>
      <c r="H61" s="140"/>
      <c r="I61" s="140"/>
      <c r="J61" s="140"/>
      <c r="K61" s="140"/>
      <c r="L61" s="140"/>
      <c r="M61" s="56"/>
    </row>
    <row r="62" spans="2:13" s="63" customFormat="1" x14ac:dyDescent="0.3">
      <c r="B62" s="55"/>
      <c r="C62" s="140"/>
      <c r="D62" s="140"/>
      <c r="E62" s="140"/>
      <c r="F62" s="140"/>
      <c r="G62" s="140"/>
      <c r="H62" s="140"/>
      <c r="I62" s="140"/>
      <c r="J62" s="140"/>
      <c r="K62" s="140"/>
      <c r="L62" s="140"/>
      <c r="M62" s="56"/>
    </row>
    <row r="63" spans="2:13" s="63" customFormat="1" x14ac:dyDescent="0.3">
      <c r="B63" s="55"/>
      <c r="C63" s="140"/>
      <c r="D63" s="140"/>
      <c r="E63" s="140"/>
      <c r="F63" s="140"/>
      <c r="G63" s="140"/>
      <c r="H63" s="140"/>
      <c r="I63" s="140"/>
      <c r="J63" s="140"/>
      <c r="K63" s="140"/>
      <c r="L63" s="140"/>
      <c r="M63" s="56"/>
    </row>
    <row r="64" spans="2:13" s="63" customFormat="1" x14ac:dyDescent="0.3">
      <c r="B64" s="55"/>
      <c r="C64" s="140"/>
      <c r="D64" s="140"/>
      <c r="E64" s="140"/>
      <c r="F64" s="140"/>
      <c r="G64" s="140"/>
      <c r="H64" s="140"/>
      <c r="I64" s="140"/>
      <c r="J64" s="140"/>
      <c r="K64" s="140"/>
      <c r="L64" s="140"/>
      <c r="M64" s="56"/>
    </row>
    <row r="65" spans="2:13" s="63" customFormat="1" x14ac:dyDescent="0.3">
      <c r="B65" s="55"/>
      <c r="C65" s="140"/>
      <c r="D65" s="140"/>
      <c r="E65" s="140"/>
      <c r="F65" s="140"/>
      <c r="G65" s="140"/>
      <c r="H65" s="140"/>
      <c r="I65" s="140"/>
      <c r="J65" s="140"/>
      <c r="K65" s="140"/>
      <c r="L65" s="140"/>
      <c r="M65" s="56"/>
    </row>
    <row r="66" spans="2:13" s="63" customFormat="1" x14ac:dyDescent="0.3">
      <c r="B66" s="55"/>
      <c r="C66" s="140"/>
      <c r="D66" s="140"/>
      <c r="E66" s="140"/>
      <c r="F66" s="140"/>
      <c r="G66" s="140"/>
      <c r="H66" s="140"/>
      <c r="I66" s="140"/>
      <c r="J66" s="140"/>
      <c r="K66" s="140"/>
      <c r="L66" s="140"/>
      <c r="M66" s="56"/>
    </row>
    <row r="67" spans="2:13" s="63" customFormat="1" x14ac:dyDescent="0.3">
      <c r="B67" s="55"/>
      <c r="C67" s="140"/>
      <c r="D67" s="140"/>
      <c r="E67" s="140"/>
      <c r="F67" s="140"/>
      <c r="G67" s="140"/>
      <c r="H67" s="140"/>
      <c r="I67" s="140"/>
      <c r="J67" s="140"/>
      <c r="K67" s="140"/>
      <c r="L67" s="140"/>
      <c r="M67" s="56"/>
    </row>
    <row r="68" spans="2:13" s="63" customFormat="1" x14ac:dyDescent="0.3">
      <c r="B68" s="55"/>
      <c r="C68" s="140"/>
      <c r="D68" s="140"/>
      <c r="E68" s="140"/>
      <c r="F68" s="140"/>
      <c r="G68" s="140"/>
      <c r="H68" s="140"/>
      <c r="I68" s="140"/>
      <c r="J68" s="140"/>
      <c r="K68" s="140"/>
      <c r="L68" s="140"/>
      <c r="M68" s="56"/>
    </row>
    <row r="69" spans="2:13" s="63" customFormat="1" x14ac:dyDescent="0.3">
      <c r="B69" s="55"/>
      <c r="C69" s="140"/>
      <c r="D69" s="140"/>
      <c r="E69" s="140"/>
      <c r="F69" s="140"/>
      <c r="G69" s="140"/>
      <c r="H69" s="140"/>
      <c r="I69" s="140"/>
      <c r="J69" s="140"/>
      <c r="K69" s="140"/>
      <c r="L69" s="140"/>
      <c r="M69" s="56"/>
    </row>
    <row r="70" spans="2:13" s="63" customFormat="1" x14ac:dyDescent="0.3">
      <c r="B70" s="55"/>
      <c r="C70" s="140"/>
      <c r="D70" s="140"/>
      <c r="E70" s="140"/>
      <c r="F70" s="140"/>
      <c r="G70" s="140"/>
      <c r="H70" s="140"/>
      <c r="I70" s="140"/>
      <c r="J70" s="140"/>
      <c r="K70" s="140"/>
      <c r="L70" s="140"/>
      <c r="M70" s="56"/>
    </row>
    <row r="71" spans="2:13" x14ac:dyDescent="0.3">
      <c r="B71" s="55"/>
      <c r="C71" s="139"/>
      <c r="D71" s="139"/>
      <c r="E71" s="139"/>
      <c r="F71" s="139"/>
      <c r="G71" s="139"/>
      <c r="H71" s="139"/>
      <c r="I71" s="139"/>
      <c r="J71" s="139"/>
      <c r="K71" s="139"/>
      <c r="L71" s="139"/>
      <c r="M71" s="56"/>
    </row>
    <row r="72" spans="2:13" x14ac:dyDescent="0.3">
      <c r="B72" s="55"/>
      <c r="C72" s="139"/>
      <c r="D72" s="139"/>
      <c r="E72" s="139"/>
      <c r="F72" s="139"/>
      <c r="G72" s="139"/>
      <c r="H72" s="139"/>
      <c r="I72" s="139"/>
      <c r="J72" s="139"/>
      <c r="K72" s="139"/>
      <c r="L72" s="139"/>
      <c r="M72" s="56"/>
    </row>
    <row r="73" spans="2:13" s="63" customFormat="1" x14ac:dyDescent="0.3">
      <c r="B73" s="55"/>
      <c r="C73" s="139"/>
      <c r="D73" s="139"/>
      <c r="E73" s="139"/>
      <c r="F73" s="139"/>
      <c r="G73" s="139"/>
      <c r="H73" s="139"/>
      <c r="I73" s="139"/>
      <c r="J73" s="139"/>
      <c r="K73" s="139"/>
      <c r="L73" s="139"/>
      <c r="M73" s="56"/>
    </row>
    <row r="74" spans="2:13" s="63" customFormat="1" x14ac:dyDescent="0.3">
      <c r="B74" s="55"/>
      <c r="C74" s="58"/>
      <c r="M74" s="56"/>
    </row>
    <row r="75" spans="2:13" s="63" customFormat="1" x14ac:dyDescent="0.3">
      <c r="B75" s="55"/>
      <c r="C75" s="58"/>
      <c r="M75" s="56"/>
    </row>
    <row r="76" spans="2:13" x14ac:dyDescent="0.3">
      <c r="B76" s="55"/>
      <c r="C76" s="132" t="s">
        <v>81</v>
      </c>
      <c r="D76" s="133"/>
      <c r="E76" s="133"/>
      <c r="F76" s="133"/>
      <c r="G76" s="133"/>
      <c r="H76" s="133"/>
      <c r="I76" s="133"/>
      <c r="J76" s="133"/>
      <c r="K76" s="133"/>
      <c r="L76" s="133"/>
      <c r="M76" s="56"/>
    </row>
    <row r="77" spans="2:13" x14ac:dyDescent="0.3">
      <c r="B77" s="55"/>
      <c r="C77" s="132" t="s">
        <v>82</v>
      </c>
      <c r="D77" s="133"/>
      <c r="E77" s="133"/>
      <c r="F77" s="133"/>
      <c r="G77" s="133"/>
      <c r="H77" s="133"/>
      <c r="I77" s="133"/>
      <c r="J77" s="133"/>
      <c r="K77" s="133"/>
      <c r="L77" s="133"/>
      <c r="M77" s="56"/>
    </row>
    <row r="78" spans="2:13" ht="15" customHeight="1" thickBot="1" x14ac:dyDescent="0.35">
      <c r="B78" s="59"/>
      <c r="C78" s="60"/>
      <c r="D78" s="61"/>
      <c r="E78" s="61"/>
      <c r="F78" s="61"/>
      <c r="G78" s="61"/>
      <c r="H78" s="61"/>
      <c r="I78" s="61"/>
      <c r="J78" s="61"/>
      <c r="K78" s="61"/>
      <c r="L78" s="61"/>
      <c r="M78" s="62"/>
    </row>
  </sheetData>
  <sheetProtection algorithmName="SHA-512" hashValue="/OFZEA5YJuzuULhHY7DRc9gEc2PHNM9/shBWP5df37LeYXFrWmPggjyucHkdab0eABd3tGnYNh1+J1h6UvSjsA==" saltValue="+XMWE7By8p3hmRkowIUaFw==" spinCount="100000" sheet="1" objects="1" scenarios="1"/>
  <mergeCells count="9">
    <mergeCell ref="C77:L77"/>
    <mergeCell ref="C38:L73"/>
    <mergeCell ref="D32:H33"/>
    <mergeCell ref="C4:L4"/>
    <mergeCell ref="C8:L8"/>
    <mergeCell ref="C10:L31"/>
    <mergeCell ref="C36:L36"/>
    <mergeCell ref="C76:L76"/>
    <mergeCell ref="C6:L6"/>
  </mergeCells>
  <hyperlinks>
    <hyperlink ref="D32:H33" location="Cockpit!A1" display="Kalkulation starten" xr:uid="{1557FEDD-8215-4304-A65D-4C38A29503B3}"/>
  </hyperlinks>
  <pageMargins left="0.75" right="0.75" top="1" bottom="1" header="0.5" footer="0.5"/>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D1719"/>
    <pageSetUpPr fitToPage="1"/>
  </sheetPr>
  <dimension ref="A1:L57"/>
  <sheetViews>
    <sheetView showGridLines="0" zoomScale="85" zoomScaleNormal="85" workbookViewId="0">
      <selection activeCell="A1" sqref="A1"/>
    </sheetView>
  </sheetViews>
  <sheetFormatPr baseColWidth="10" defaultColWidth="8.88671875" defaultRowHeight="14.4" x14ac:dyDescent="0.3"/>
  <cols>
    <col min="1" max="1" width="2" style="1" customWidth="1"/>
    <col min="2" max="2" width="35.5546875" style="1" customWidth="1"/>
    <col min="3" max="3" width="15" style="1" customWidth="1"/>
    <col min="4" max="4" width="4.109375" style="1" customWidth="1"/>
    <col min="5" max="5" width="35.5546875" style="1" customWidth="1"/>
    <col min="6" max="6" width="15" style="1" customWidth="1"/>
    <col min="7" max="7" width="4.109375" style="1" customWidth="1"/>
    <col min="8" max="8" width="35.5546875" style="1" customWidth="1"/>
    <col min="9" max="9" width="15" style="1" customWidth="1"/>
    <col min="10" max="10" width="4.109375" style="1" customWidth="1"/>
    <col min="11" max="11" width="35.5546875" style="1" customWidth="1"/>
    <col min="12" max="12" width="15" style="1" customWidth="1"/>
    <col min="13" max="16384" width="8.88671875" style="1"/>
  </cols>
  <sheetData>
    <row r="1" spans="1:12" ht="40.049999999999997" customHeight="1" x14ac:dyDescent="0.5">
      <c r="A1" s="14"/>
      <c r="B1" s="155" t="s">
        <v>188</v>
      </c>
      <c r="C1" s="150"/>
      <c r="D1" s="150"/>
      <c r="E1" s="150"/>
      <c r="F1" s="150"/>
      <c r="G1" s="150"/>
      <c r="H1" s="150"/>
      <c r="I1" s="150"/>
      <c r="J1" s="14"/>
      <c r="K1" s="14"/>
      <c r="L1" s="14"/>
    </row>
    <row r="2" spans="1:12" ht="13.95" customHeight="1" x14ac:dyDescent="0.3">
      <c r="A2" s="14"/>
      <c r="B2" s="149" t="s">
        <v>142</v>
      </c>
      <c r="C2" s="150"/>
      <c r="D2" s="150"/>
      <c r="E2" s="150"/>
      <c r="F2" s="150"/>
      <c r="G2" s="150"/>
      <c r="H2" s="150"/>
      <c r="I2" s="150"/>
      <c r="J2" s="150"/>
      <c r="K2" s="150"/>
      <c r="L2" s="150"/>
    </row>
    <row r="3" spans="1:12" s="65" customFormat="1" ht="13.95" customHeight="1" x14ac:dyDescent="0.3">
      <c r="B3" s="103"/>
    </row>
    <row r="4" spans="1:12" x14ac:dyDescent="0.3">
      <c r="A4" s="14"/>
      <c r="B4" s="145" t="s">
        <v>193</v>
      </c>
      <c r="C4" s="145"/>
      <c r="D4" s="14"/>
      <c r="E4" s="14"/>
      <c r="F4" s="14"/>
      <c r="G4" s="14"/>
      <c r="H4" s="14"/>
      <c r="I4" s="14"/>
      <c r="J4" s="14"/>
      <c r="K4" s="43" t="s">
        <v>128</v>
      </c>
      <c r="L4" s="44">
        <v>46266</v>
      </c>
    </row>
    <row r="5" spans="1:12" s="65" customFormat="1" ht="9.4499999999999993" customHeight="1" x14ac:dyDescent="0.3">
      <c r="B5" s="66"/>
      <c r="K5" s="66"/>
    </row>
    <row r="6" spans="1:12" ht="19.95" customHeight="1" x14ac:dyDescent="0.3">
      <c r="A6" s="14"/>
      <c r="B6" s="156" t="s">
        <v>0</v>
      </c>
      <c r="C6" s="157"/>
      <c r="D6" s="14"/>
      <c r="E6" s="156" t="s">
        <v>1</v>
      </c>
      <c r="F6" s="157"/>
      <c r="G6" s="14"/>
      <c r="H6" s="156" t="s">
        <v>2</v>
      </c>
      <c r="I6" s="157"/>
      <c r="J6" s="14"/>
      <c r="K6" s="146" t="s">
        <v>3</v>
      </c>
      <c r="L6" s="146"/>
    </row>
    <row r="7" spans="1:12" ht="15.45" customHeight="1" x14ac:dyDescent="0.3">
      <c r="A7" s="14"/>
      <c r="B7" s="14"/>
      <c r="C7" s="14"/>
      <c r="D7" s="14"/>
      <c r="E7" s="14"/>
      <c r="F7" s="14"/>
      <c r="G7" s="14"/>
      <c r="H7" s="14"/>
      <c r="I7" s="14"/>
      <c r="J7" s="14"/>
      <c r="K7" s="14"/>
      <c r="L7" s="14"/>
    </row>
    <row r="8" spans="1:12" ht="15.45" customHeight="1" thickBot="1" x14ac:dyDescent="0.35">
      <c r="A8" s="14"/>
      <c r="B8" s="152" t="s">
        <v>4</v>
      </c>
      <c r="C8" s="153"/>
      <c r="D8" s="14"/>
      <c r="E8" s="147" t="s">
        <v>8</v>
      </c>
      <c r="F8" s="148"/>
      <c r="G8" s="14"/>
      <c r="H8" s="147" t="s">
        <v>5</v>
      </c>
      <c r="I8" s="148"/>
      <c r="J8" s="14"/>
      <c r="K8" s="154" t="s">
        <v>6</v>
      </c>
      <c r="L8" s="148"/>
    </row>
    <row r="9" spans="1:12" ht="15.45" customHeight="1" x14ac:dyDescent="0.3">
      <c r="A9" s="14"/>
      <c r="B9" s="15" t="s">
        <v>7</v>
      </c>
      <c r="C9" s="2">
        <v>75000</v>
      </c>
      <c r="D9" s="14"/>
      <c r="E9" s="15" t="s">
        <v>8</v>
      </c>
      <c r="F9" s="2">
        <v>55000</v>
      </c>
      <c r="G9" s="14"/>
      <c r="H9" s="15" t="s">
        <v>9</v>
      </c>
      <c r="I9" s="3">
        <v>1</v>
      </c>
      <c r="J9" s="14"/>
      <c r="K9" s="16" t="s">
        <v>158</v>
      </c>
      <c r="L9" s="17">
        <f>Cockpit!$I$17/(Cockpit!$C$9+Cockpit!$C$25+Cockpit!$C$30)</f>
        <v>4.0371382333463449E-2</v>
      </c>
    </row>
    <row r="10" spans="1:12" ht="15.45" customHeight="1" x14ac:dyDescent="0.3">
      <c r="A10" s="14"/>
      <c r="B10" s="15" t="s">
        <v>143</v>
      </c>
      <c r="C10" s="4">
        <v>6.5000000000000002E-2</v>
      </c>
      <c r="D10" s="14"/>
      <c r="E10" s="15" t="s">
        <v>137</v>
      </c>
      <c r="F10" s="18">
        <f>Cockpit!$C$38-Cockpit!$F$9</f>
        <v>423698.5</v>
      </c>
      <c r="G10" s="14"/>
      <c r="H10" s="15" t="s">
        <v>11</v>
      </c>
      <c r="I10" s="5">
        <v>109.2</v>
      </c>
      <c r="J10" s="14"/>
      <c r="K10" s="16" t="s">
        <v>12</v>
      </c>
      <c r="L10" s="19">
        <f>Jahresverlauf!G6</f>
        <v>-3407.9087721114311</v>
      </c>
    </row>
    <row r="11" spans="1:12" ht="15.45" customHeight="1" x14ac:dyDescent="0.3">
      <c r="A11" s="14"/>
      <c r="B11" s="71" t="s">
        <v>144</v>
      </c>
      <c r="C11" s="72">
        <v>1.4999999999999999E-2</v>
      </c>
      <c r="D11" s="14"/>
      <c r="E11" s="15" t="s">
        <v>146</v>
      </c>
      <c r="F11" s="24">
        <f>Cockpit!$F$10/(Cockpit!$C$38-Cockpit!$C$14)</f>
        <v>0.90216567372020628</v>
      </c>
      <c r="G11" s="14"/>
      <c r="H11"/>
      <c r="I11"/>
      <c r="J11" s="14"/>
      <c r="K11" s="16" t="s">
        <v>16</v>
      </c>
      <c r="L11" s="79">
        <f>Jahresverlauf!K6</f>
        <v>12368.377826688567</v>
      </c>
    </row>
    <row r="12" spans="1:12" ht="15.45" customHeight="1" thickBot="1" x14ac:dyDescent="0.35">
      <c r="A12" s="14"/>
      <c r="B12" s="71" t="s">
        <v>145</v>
      </c>
      <c r="C12" s="72">
        <v>5.0000000000000001E-3</v>
      </c>
      <c r="D12" s="14"/>
      <c r="E12"/>
      <c r="F12"/>
      <c r="G12" s="14"/>
      <c r="H12" s="147" t="s">
        <v>15</v>
      </c>
      <c r="I12" s="148"/>
      <c r="J12" s="14"/>
      <c r="K12" s="16" t="s">
        <v>152</v>
      </c>
      <c r="L12" s="79">
        <f>Jahresverlauf!K6+Jahresverlauf!F6</f>
        <v>18836.1385988</v>
      </c>
    </row>
    <row r="13" spans="1:12" ht="15.45" customHeight="1" thickBot="1" x14ac:dyDescent="0.35">
      <c r="A13" s="14"/>
      <c r="B13" s="15" t="s">
        <v>13</v>
      </c>
      <c r="C13" s="4">
        <v>3.5700000000000003E-2</v>
      </c>
      <c r="D13" s="14"/>
      <c r="E13" s="147" t="s">
        <v>14</v>
      </c>
      <c r="F13" s="148"/>
      <c r="G13" s="14"/>
      <c r="H13" s="15" t="s">
        <v>19</v>
      </c>
      <c r="I13" s="6">
        <v>13.5</v>
      </c>
      <c r="J13" s="14"/>
      <c r="K13" s="16" t="s">
        <v>153</v>
      </c>
      <c r="L13" s="17">
        <f>Cockpit!$L$12/Cockpit!$F$9</f>
        <v>0.34247524725090911</v>
      </c>
    </row>
    <row r="14" spans="1:12" ht="15.45" customHeight="1" x14ac:dyDescent="0.3">
      <c r="A14" s="14"/>
      <c r="B14" s="15" t="s">
        <v>17</v>
      </c>
      <c r="C14" s="18">
        <f>SUM(Cockpit!$C$10:$C$13)*Cockpit!$C$9</f>
        <v>9052.5</v>
      </c>
      <c r="D14" s="14"/>
      <c r="E14" s="15" t="s">
        <v>18</v>
      </c>
      <c r="F14" s="2">
        <v>150000</v>
      </c>
      <c r="G14" s="14"/>
      <c r="H14" s="15" t="s">
        <v>22</v>
      </c>
      <c r="I14" s="18">
        <f>Cockpit!$I$10*Cockpit!$I$13*12</f>
        <v>17690.400000000001</v>
      </c>
      <c r="J14" s="14"/>
      <c r="K14"/>
      <c r="L14"/>
    </row>
    <row r="15" spans="1:12" ht="15.45" customHeight="1" thickBot="1" x14ac:dyDescent="0.35">
      <c r="A15" s="14"/>
      <c r="B15" s="67" t="s">
        <v>20</v>
      </c>
      <c r="C15" s="21">
        <f>Cockpit!$C$9+Cockpit!$C$14</f>
        <v>84052.5</v>
      </c>
      <c r="D15" s="14"/>
      <c r="E15" s="15" t="s">
        <v>21</v>
      </c>
      <c r="F15" s="4">
        <v>2.46E-2</v>
      </c>
      <c r="G15" s="14"/>
      <c r="H15" s="15" t="s">
        <v>25</v>
      </c>
      <c r="I15" s="3">
        <v>1</v>
      </c>
      <c r="J15" s="14"/>
      <c r="K15" s="154" t="str">
        <f>"Ergebnis Jahr 1 bis "&amp;TEXT(Cockpit!$L$21,"0")&amp;" (kumuliert)"</f>
        <v>Ergebnis Jahr 1 bis 10 (kumuliert)</v>
      </c>
      <c r="L15" s="148"/>
    </row>
    <row r="16" spans="1:12" ht="15.45" customHeight="1" x14ac:dyDescent="0.3">
      <c r="A16" s="14"/>
      <c r="B16" s="68"/>
      <c r="C16" s="69"/>
      <c r="D16" s="14"/>
      <c r="E16" s="15" t="s">
        <v>24</v>
      </c>
      <c r="F16" s="7">
        <v>35</v>
      </c>
      <c r="G16" s="14"/>
      <c r="H16" s="15" t="s">
        <v>28</v>
      </c>
      <c r="I16" s="6">
        <v>60</v>
      </c>
      <c r="J16" s="14"/>
      <c r="K16" s="16" t="s">
        <v>154</v>
      </c>
      <c r="L16" s="19">
        <f>INDEX(Jahresverlauf!$L$6:$L$40,MATCH(Cockpit!$L$21,Jahresverlauf!$A$6:$A$40,0))</f>
        <v>58160.675469898139</v>
      </c>
    </row>
    <row r="17" spans="1:12" ht="15.45" customHeight="1" thickBot="1" x14ac:dyDescent="0.35">
      <c r="A17" s="14"/>
      <c r="B17" s="152" t="s">
        <v>23</v>
      </c>
      <c r="C17" s="153"/>
      <c r="D17" s="14"/>
      <c r="E17" s="15" t="s">
        <v>27</v>
      </c>
      <c r="F17" s="18">
        <f>IF(Cockpit!$F$14&lt;=0,0,Cockpit!$F$14*Cockpit!$F$15/(1-(1+Cockpit!$F$15)^-Cockpit!$F$16))</f>
        <v>6441.6680059020773</v>
      </c>
      <c r="G17" s="14"/>
      <c r="H17" s="20" t="s">
        <v>140</v>
      </c>
      <c r="I17" s="21">
        <f>Cockpit!$I$14+Cockpit!$I$15*Cockpit!$I$16*12</f>
        <v>18410.400000000001</v>
      </c>
      <c r="J17" s="14"/>
      <c r="K17" s="16" t="s">
        <v>155</v>
      </c>
      <c r="L17" s="19">
        <f>Cockpit!$L$16+SUMIF(Jahresverlauf!$A$6:$A$40,"&lt;="&amp;Cockpit!$L$21,Jahresverlauf!$F$6:$F$40)</f>
        <v>133547.94541396372</v>
      </c>
    </row>
    <row r="18" spans="1:12" ht="15.45" customHeight="1" x14ac:dyDescent="0.3">
      <c r="A18" s="14"/>
      <c r="B18" s="15" t="s">
        <v>26</v>
      </c>
      <c r="C18" s="2">
        <v>269400</v>
      </c>
      <c r="D18" s="14"/>
      <c r="E18"/>
      <c r="F18"/>
      <c r="G18" s="14"/>
      <c r="H18" s="15" t="s">
        <v>32</v>
      </c>
      <c r="I18" s="4">
        <v>2.5000000000000001E-2</v>
      </c>
      <c r="J18" s="14"/>
      <c r="K18" s="16" t="s">
        <v>156</v>
      </c>
      <c r="L18" s="17">
        <f>Cockpit!$L$17/Cockpit!$L$21/Cockpit!$F$9</f>
        <v>0.24281444620720677</v>
      </c>
    </row>
    <row r="19" spans="1:12" ht="15.45" customHeight="1" thickBot="1" x14ac:dyDescent="0.35">
      <c r="A19" s="14"/>
      <c r="B19" s="15" t="s">
        <v>29</v>
      </c>
      <c r="C19" s="2">
        <v>23471</v>
      </c>
      <c r="D19" s="14"/>
      <c r="E19" s="147" t="s">
        <v>30</v>
      </c>
      <c r="F19" s="148"/>
      <c r="G19" s="14"/>
      <c r="H19"/>
      <c r="I19"/>
      <c r="J19" s="14"/>
      <c r="K19"/>
      <c r="L19"/>
    </row>
    <row r="20" spans="1:12" ht="15.45" customHeight="1" thickBot="1" x14ac:dyDescent="0.35">
      <c r="A20" s="14"/>
      <c r="B20" s="15" t="s">
        <v>31</v>
      </c>
      <c r="C20" s="2">
        <v>6000</v>
      </c>
      <c r="D20" s="14"/>
      <c r="E20" s="15" t="s">
        <v>18</v>
      </c>
      <c r="F20" s="18">
        <f>MAX(0,Cockpit!$F$10-Cockpit!$F$14)</f>
        <v>273698.5</v>
      </c>
      <c r="G20" s="14"/>
      <c r="H20" s="147" t="s">
        <v>34</v>
      </c>
      <c r="I20" s="148"/>
      <c r="J20" s="14"/>
      <c r="K20" s="154" t="str">
        <f>"Verkauf in Jahr "&amp;TEXT(Cockpit!$L$21+1,"0")</f>
        <v>Verkauf in Jahr 11</v>
      </c>
      <c r="L20" s="148"/>
    </row>
    <row r="21" spans="1:12" ht="15.45" customHeight="1" x14ac:dyDescent="0.3">
      <c r="A21" s="14"/>
      <c r="B21" s="15" t="s">
        <v>33</v>
      </c>
      <c r="C21" s="2">
        <v>22155</v>
      </c>
      <c r="D21" s="14"/>
      <c r="E21" s="15" t="s">
        <v>21</v>
      </c>
      <c r="F21" s="4">
        <v>0.04</v>
      </c>
      <c r="G21" s="14"/>
      <c r="H21" s="15" t="s">
        <v>35</v>
      </c>
      <c r="I21" s="6">
        <v>0.09</v>
      </c>
      <c r="J21" s="14"/>
      <c r="K21" s="16" t="s">
        <v>36</v>
      </c>
      <c r="L21" s="11">
        <v>10</v>
      </c>
    </row>
    <row r="22" spans="1:12" ht="15.45" customHeight="1" x14ac:dyDescent="0.3">
      <c r="A22" s="14"/>
      <c r="B22" s="15" t="s">
        <v>190</v>
      </c>
      <c r="C22" s="2">
        <v>32000</v>
      </c>
      <c r="D22" s="14"/>
      <c r="E22" s="15" t="s">
        <v>24</v>
      </c>
      <c r="F22" s="7">
        <v>35</v>
      </c>
      <c r="G22" s="14"/>
      <c r="H22" s="20" t="s">
        <v>37</v>
      </c>
      <c r="I22" s="21">
        <f>IF(Cockpit!$C$33="Ja",Cockpit!$C$35*Cockpit!$I$21,0)</f>
        <v>561.6</v>
      </c>
      <c r="J22" s="14"/>
      <c r="K22" s="16" t="s">
        <v>181</v>
      </c>
      <c r="L22" s="19">
        <f>Cockpit!$C$38-Cockpit!$C$14-Cockpit!$C$36</f>
        <v>456026</v>
      </c>
    </row>
    <row r="23" spans="1:12" ht="15.45" customHeight="1" x14ac:dyDescent="0.3">
      <c r="A23" s="14"/>
      <c r="B23" s="15" t="s">
        <v>191</v>
      </c>
      <c r="C23" s="2">
        <v>8000</v>
      </c>
      <c r="D23" s="14"/>
      <c r="E23" s="15" t="s">
        <v>27</v>
      </c>
      <c r="F23" s="18">
        <f>IF(Cockpit!$F$20&lt;=0,0,Cockpit!$F$20*Cockpit!$F$21/(1-(1+Cockpit!$F$21)^-Cockpit!$F$22))</f>
        <v>14664.032766209355</v>
      </c>
      <c r="G23" s="14"/>
      <c r="H23"/>
      <c r="I23"/>
      <c r="J23" s="14"/>
      <c r="K23" s="16" t="s">
        <v>38</v>
      </c>
      <c r="L23" s="12">
        <v>0.01</v>
      </c>
    </row>
    <row r="24" spans="1:12" ht="15.45" customHeight="1" thickBot="1" x14ac:dyDescent="0.35">
      <c r="A24" s="14"/>
      <c r="B24" s="15" t="s">
        <v>39</v>
      </c>
      <c r="C24" s="2">
        <v>0</v>
      </c>
      <c r="D24" s="14"/>
      <c r="E24"/>
      <c r="F24"/>
      <c r="G24" s="14"/>
      <c r="H24" s="147" t="s">
        <v>41</v>
      </c>
      <c r="I24" s="148"/>
      <c r="J24" s="14"/>
      <c r="K24" s="16" t="s">
        <v>46</v>
      </c>
      <c r="L24" s="19">
        <f>Cockpit!$L$22*(1+Cockpit!$L$23)^Cockpit!$L$21</f>
        <v>503736.40936277003</v>
      </c>
    </row>
    <row r="25" spans="1:12" ht="15.45" customHeight="1" thickBot="1" x14ac:dyDescent="0.35">
      <c r="A25" s="14"/>
      <c r="B25" s="20" t="s">
        <v>42</v>
      </c>
      <c r="C25" s="21">
        <f>SUM(Cockpit!$C$18:$C$24)</f>
        <v>361026</v>
      </c>
      <c r="D25" s="14"/>
      <c r="E25" s="147" t="s">
        <v>40</v>
      </c>
      <c r="F25" s="148"/>
      <c r="G25" s="14"/>
      <c r="H25" s="15" t="s">
        <v>44</v>
      </c>
      <c r="I25" s="2">
        <v>360</v>
      </c>
      <c r="J25" s="14"/>
      <c r="K25" s="16"/>
      <c r="L25" s="19"/>
    </row>
    <row r="26" spans="1:12" ht="15.45" customHeight="1" x14ac:dyDescent="0.3">
      <c r="A26" s="14"/>
      <c r="B26" s="70"/>
      <c r="C26" s="69"/>
      <c r="D26" s="14"/>
      <c r="E26" s="20" t="s">
        <v>43</v>
      </c>
      <c r="F26" s="21">
        <f>Cockpit!$F$17+Cockpit!$F$23</f>
        <v>21105.700772111431</v>
      </c>
      <c r="G26" s="14"/>
      <c r="H26" s="15" t="s">
        <v>149</v>
      </c>
      <c r="I26" s="6">
        <v>5</v>
      </c>
      <c r="J26" s="14"/>
      <c r="K26" s="71" t="s">
        <v>167</v>
      </c>
      <c r="L26" s="13">
        <v>22</v>
      </c>
    </row>
    <row r="27" spans="1:12" ht="15.45" customHeight="1" thickBot="1" x14ac:dyDescent="0.35">
      <c r="A27" s="14"/>
      <c r="B27" s="152" t="s">
        <v>45</v>
      </c>
      <c r="C27" s="153"/>
      <c r="D27" s="14"/>
      <c r="E27" s="15" t="s">
        <v>138</v>
      </c>
      <c r="F27" s="24">
        <f>(Cockpit!$F$20*Cockpit!$F$21+Cockpit!$F$14*Cockpit!$F$15)/Cockpit!$F$10</f>
        <v>3.4548009964632871E-2</v>
      </c>
      <c r="G27" s="14"/>
      <c r="H27" s="15" t="s">
        <v>150</v>
      </c>
      <c r="I27" s="6">
        <v>15</v>
      </c>
      <c r="J27" s="14"/>
      <c r="K27" s="16" t="s">
        <v>48</v>
      </c>
      <c r="L27" s="19">
        <f>Cockpit!$L$26*INDEX(Jahresverlauf!$B$6:$B$40,MATCH(Cockpit!$L$21,Jahresverlauf!$A$6:$A$40,0))</f>
        <v>505825.47008233902</v>
      </c>
    </row>
    <row r="28" spans="1:12" ht="15.45" customHeight="1" x14ac:dyDescent="0.3">
      <c r="A28" s="14"/>
      <c r="B28" s="15" t="s">
        <v>47</v>
      </c>
      <c r="C28" s="2">
        <v>20000</v>
      </c>
      <c r="D28" s="14"/>
      <c r="E28"/>
      <c r="F28"/>
      <c r="G28" s="14"/>
      <c r="H28" s="15" t="s">
        <v>151</v>
      </c>
      <c r="I28" s="6">
        <v>25</v>
      </c>
      <c r="J28" s="14"/>
      <c r="K28" s="104" t="s">
        <v>168</v>
      </c>
      <c r="L28" s="23">
        <f>MIN(Cockpit!$L$24,Cockpit!$L$27)</f>
        <v>503736.40936277003</v>
      </c>
    </row>
    <row r="29" spans="1:12" ht="15.45" customHeight="1" thickBot="1" x14ac:dyDescent="0.35">
      <c r="A29" s="14"/>
      <c r="B29" s="15" t="s">
        <v>50</v>
      </c>
      <c r="C29" s="2">
        <v>0</v>
      </c>
      <c r="D29" s="14"/>
      <c r="E29" s="147" t="s">
        <v>51</v>
      </c>
      <c r="F29" s="148"/>
      <c r="G29" s="14"/>
      <c r="H29" s="15" t="s">
        <v>139</v>
      </c>
      <c r="I29" s="2">
        <v>0</v>
      </c>
      <c r="J29" s="14"/>
      <c r="K29" s="25"/>
      <c r="L29" s="26"/>
    </row>
    <row r="30" spans="1:12" ht="15.45" customHeight="1" x14ac:dyDescent="0.3">
      <c r="A30" s="14"/>
      <c r="B30" s="20" t="s">
        <v>53</v>
      </c>
      <c r="C30" s="21">
        <f>Cockpit!$C$28+Cockpit!$C$29</f>
        <v>20000</v>
      </c>
      <c r="D30" s="14"/>
      <c r="E30" s="15" t="s">
        <v>54</v>
      </c>
      <c r="F30" s="4">
        <v>0.42</v>
      </c>
      <c r="G30" s="14"/>
      <c r="H30" s="15" t="s">
        <v>49</v>
      </c>
      <c r="I30" s="4">
        <v>0.02</v>
      </c>
      <c r="J30" s="14"/>
      <c r="K30" s="105" t="s">
        <v>169</v>
      </c>
      <c r="L30" s="19">
        <f>Cockpit!$C$36*MAX(0,1-Cockpit!$L$21/40)</f>
        <v>10215</v>
      </c>
    </row>
    <row r="31" spans="1:12" ht="15.45" customHeight="1" x14ac:dyDescent="0.3">
      <c r="A31" s="14"/>
      <c r="B31" s="70"/>
      <c r="C31" s="69"/>
      <c r="D31" s="14"/>
      <c r="E31" s="15" t="s">
        <v>56</v>
      </c>
      <c r="F31" s="4">
        <v>5.5E-2</v>
      </c>
      <c r="G31" s="14"/>
      <c r="H31" s="15" t="s">
        <v>52</v>
      </c>
      <c r="I31" s="4">
        <v>2.5000000000000001E-2</v>
      </c>
      <c r="J31" s="14"/>
      <c r="K31" s="105" t="s">
        <v>186</v>
      </c>
      <c r="L31" s="19">
        <f>-INDEX(Jahresverlauf!$M$6:$M$40,MATCH(Cockpit!$L$21,Jahresverlauf!$A$6:$A$40,0))</f>
        <v>-348311.23005593446</v>
      </c>
    </row>
    <row r="32" spans="1:12" ht="15.45" customHeight="1" thickBot="1" x14ac:dyDescent="0.35">
      <c r="A32" s="14"/>
      <c r="B32" s="152" t="s">
        <v>55</v>
      </c>
      <c r="C32" s="153"/>
      <c r="D32" s="14"/>
      <c r="E32" s="15" t="s">
        <v>59</v>
      </c>
      <c r="F32" s="4">
        <v>0</v>
      </c>
      <c r="G32" s="14"/>
      <c r="H32" s="20" t="s">
        <v>141</v>
      </c>
      <c r="I32" s="21">
        <f>Cockpit!$I$25*Cockpit!$I$9+Cockpit!$I$26*Cockpit!$I$10+Cockpit!$I$29+Cockpit!$I$30*Cockpit!$I$17</f>
        <v>1274.2080000000001</v>
      </c>
      <c r="J32" s="14"/>
      <c r="K32" s="71" t="s">
        <v>170</v>
      </c>
      <c r="L32" s="19">
        <f>-IF(Cockpit!$L$21&gt;=10,0,(Cockpit!$L$28+Cockpit!$L$30-Cockpit!$C$38+INDEX(Jahresverlauf!$O$6:$O$40,MATCH(Cockpit!$L$21,Jahresverlauf!$A$6:$A$40,0))+INDEX(Jahresverlauf!$P$6:$P$40,MATCH(Cockpit!$L$21,Jahresverlauf!$A$6:$A$40,0))+INDEX(Jahresverlauf!$V$6:$V$40,MATCH(Cockpit!$L$21,Jahresverlauf!$A$6:$A$40,0)))*Cockpit!$F$33)</f>
        <v>0</v>
      </c>
    </row>
    <row r="33" spans="1:12" ht="15.45" customHeight="1" x14ac:dyDescent="0.3">
      <c r="A33" s="14"/>
      <c r="B33" s="15" t="s">
        <v>57</v>
      </c>
      <c r="C33" s="8" t="s">
        <v>58</v>
      </c>
      <c r="D33" s="14"/>
      <c r="E33" s="15" t="s">
        <v>61</v>
      </c>
      <c r="F33" s="24">
        <f>Cockpit!$F$30*(1+Cockpit!$F$31+Cockpit!$F$32)</f>
        <v>0.44309999999999994</v>
      </c>
      <c r="G33" s="14"/>
      <c r="H33" s="27"/>
      <c r="I33" s="28"/>
      <c r="J33" s="14"/>
      <c r="K33" s="22" t="s">
        <v>159</v>
      </c>
      <c r="L33" s="23">
        <f>Cockpit!$L$28+Cockpit!$L$30+Cockpit!$L$31+Cockpit!$L$32</f>
        <v>165640.17930683558</v>
      </c>
    </row>
    <row r="34" spans="1:12" ht="15.45" customHeight="1" x14ac:dyDescent="0.3">
      <c r="A34" s="14"/>
      <c r="B34" s="15" t="s">
        <v>60</v>
      </c>
      <c r="C34" s="2">
        <v>13620</v>
      </c>
      <c r="D34" s="14"/>
      <c r="E34"/>
      <c r="F34"/>
      <c r="G34" s="14"/>
      <c r="H34" s="27"/>
      <c r="I34" s="28"/>
      <c r="J34" s="14"/>
    </row>
    <row r="35" spans="1:12" ht="15.45" customHeight="1" thickBot="1" x14ac:dyDescent="0.35">
      <c r="A35" s="14"/>
      <c r="B35" s="15" t="s">
        <v>62</v>
      </c>
      <c r="C35" s="9">
        <v>6240</v>
      </c>
      <c r="D35" s="14"/>
      <c r="E35" s="147" t="s">
        <v>63</v>
      </c>
      <c r="F35" s="148"/>
      <c r="G35" s="14"/>
      <c r="H35" s="14"/>
      <c r="I35" s="14"/>
      <c r="J35" s="14"/>
      <c r="K35" s="118" t="str">
        <f>_xlfn.CONCAT("+ kumulierter Cashflow n. Steuern (Jahr 1 -",L21,")")</f>
        <v>+ kumulierter Cashflow n. Steuern (Jahr 1 -10)</v>
      </c>
      <c r="L35" s="19">
        <f>Cockpit!$L$16</f>
        <v>58160.675469898139</v>
      </c>
    </row>
    <row r="36" spans="1:12" ht="15.45" customHeight="1" x14ac:dyDescent="0.3">
      <c r="A36" s="14"/>
      <c r="B36" s="20" t="s">
        <v>65</v>
      </c>
      <c r="C36" s="21">
        <f>IF(Cockpit!$C$33="Ja",Cockpit!$C$34,0)</f>
        <v>13620</v>
      </c>
      <c r="D36" s="14"/>
      <c r="E36" s="15" t="s">
        <v>66</v>
      </c>
      <c r="F36" s="8" t="s">
        <v>67</v>
      </c>
      <c r="G36" s="14"/>
      <c r="H36" s="14"/>
      <c r="I36" s="14"/>
      <c r="J36" s="14"/>
      <c r="K36" s="16" t="s">
        <v>64</v>
      </c>
      <c r="L36" s="19">
        <f>-Cockpit!$F$9</f>
        <v>-55000</v>
      </c>
    </row>
    <row r="37" spans="1:12" ht="15.45" customHeight="1" thickBot="1" x14ac:dyDescent="0.35">
      <c r="A37" s="14"/>
      <c r="B37" s="70"/>
      <c r="C37" s="69"/>
      <c r="D37" s="14"/>
      <c r="E37" s="119" t="s">
        <v>147</v>
      </c>
      <c r="F37" s="18">
        <f>SUM(Cockpit!$C$18:$C$23)+Cockpit!$C$29</f>
        <v>361026</v>
      </c>
      <c r="G37" s="14"/>
      <c r="H37" s="14"/>
      <c r="I37" s="14"/>
      <c r="J37" s="14"/>
      <c r="K37" s="16"/>
      <c r="L37" s="19"/>
    </row>
    <row r="38" spans="1:12" ht="15.45" customHeight="1" x14ac:dyDescent="0.3">
      <c r="A38" s="14"/>
      <c r="B38" s="29" t="s">
        <v>68</v>
      </c>
      <c r="C38" s="30">
        <f>Cockpit!$C$15+Cockpit!$C$25+Cockpit!$C$30+Cockpit!$C$36</f>
        <v>478698.5</v>
      </c>
      <c r="D38" s="14"/>
      <c r="E38" s="15" t="s">
        <v>69</v>
      </c>
      <c r="F38" s="33">
        <f>(Cockpit!$F$37-Cockpit!$C$29)/Cockpit!$I$10</f>
        <v>3306.098901098901</v>
      </c>
      <c r="G38" s="14"/>
      <c r="H38" s="14"/>
      <c r="I38" s="14"/>
      <c r="J38" s="14"/>
      <c r="K38" s="31" t="str">
        <f>"VERMÖGENSZUWACHS JAHR 1 – "&amp;TEXT(Cockpit!$L$21+1,"0")</f>
        <v>VERMÖGENSZUWACHS JAHR 1 – 11</v>
      </c>
      <c r="L38" s="32">
        <f>Cockpit!$L$33+Cockpit!$L$36+Cockpit!$L$35</f>
        <v>168800.85477673373</v>
      </c>
    </row>
    <row r="39" spans="1:12" ht="15.45" customHeight="1" x14ac:dyDescent="0.3">
      <c r="A39" s="14"/>
      <c r="B39" s="14"/>
      <c r="C39" s="14"/>
      <c r="D39" s="14"/>
      <c r="E39" s="15" t="s">
        <v>71</v>
      </c>
      <c r="F39" s="78" t="str">
        <f>IF(Cockpit!$F$38&lt;=5200,"OK","GRENZE!")</f>
        <v>OK</v>
      </c>
      <c r="G39" s="14"/>
      <c r="H39" s="14"/>
      <c r="I39" s="14"/>
      <c r="J39" s="14"/>
      <c r="K39" s="16" t="s">
        <v>157</v>
      </c>
      <c r="L39" s="106">
        <f>IRR(Jahresverlauf!$Q$5:$Q$40)</f>
        <v>0.22088797459403908</v>
      </c>
    </row>
    <row r="40" spans="1:12" ht="15.45" customHeight="1" x14ac:dyDescent="0.3">
      <c r="A40" s="14"/>
      <c r="D40" s="14"/>
      <c r="E40" s="15" t="s">
        <v>72</v>
      </c>
      <c r="F40" s="8" t="s">
        <v>58</v>
      </c>
      <c r="G40" s="14"/>
      <c r="H40" s="14"/>
      <c r="I40" s="14"/>
      <c r="J40" s="14"/>
      <c r="K40" s="71" t="s">
        <v>171</v>
      </c>
      <c r="L40" s="34">
        <f>(Cockpit!$L$38+Cockpit!$F$9)/Cockpit!$F$9</f>
        <v>4.0691064504860677</v>
      </c>
    </row>
    <row r="41" spans="1:12" ht="15.45" customHeight="1" x14ac:dyDescent="0.3">
      <c r="A41" s="14"/>
      <c r="D41" s="14"/>
      <c r="E41" s="15" t="s">
        <v>74</v>
      </c>
      <c r="F41" s="4">
        <v>0.05</v>
      </c>
      <c r="G41" s="14"/>
      <c r="H41" s="14"/>
      <c r="I41" s="14"/>
      <c r="J41" s="14"/>
      <c r="K41" s="14"/>
      <c r="L41" s="14"/>
    </row>
    <row r="42" spans="1:12" ht="15.45" customHeight="1" x14ac:dyDescent="0.3">
      <c r="A42" s="14"/>
      <c r="D42" s="40"/>
      <c r="E42" s="15" t="s">
        <v>75</v>
      </c>
      <c r="F42" s="7">
        <v>4</v>
      </c>
      <c r="G42" s="14"/>
      <c r="H42" s="14"/>
      <c r="I42" s="14"/>
      <c r="J42" s="14"/>
      <c r="K42" s="35"/>
      <c r="L42" s="36"/>
    </row>
    <row r="43" spans="1:12" ht="15.45" customHeight="1" x14ac:dyDescent="0.3">
      <c r="A43" s="14"/>
      <c r="D43" s="40"/>
      <c r="E43" s="15" t="s">
        <v>76</v>
      </c>
      <c r="F43" s="2">
        <v>4000</v>
      </c>
      <c r="G43" s="14"/>
      <c r="H43" s="14"/>
      <c r="I43" s="14"/>
      <c r="J43" s="14"/>
      <c r="K43" s="35"/>
      <c r="L43" s="37"/>
    </row>
    <row r="44" spans="1:12" ht="15.45" customHeight="1" x14ac:dyDescent="0.3">
      <c r="A44" s="14"/>
      <c r="D44" s="40"/>
      <c r="E44" s="15" t="s">
        <v>78</v>
      </c>
      <c r="F44" s="18">
        <f>MIN(Cockpit!$F$37-Cockpit!$C$29,Cockpit!$F$43*Cockpit!$I$10)</f>
        <v>361026</v>
      </c>
      <c r="G44" s="14"/>
      <c r="H44" s="14"/>
      <c r="I44" s="14"/>
      <c r="J44" s="14"/>
      <c r="K44" s="35"/>
      <c r="L44" s="37"/>
    </row>
    <row r="45" spans="1:12" ht="15.45" customHeight="1" x14ac:dyDescent="0.3">
      <c r="A45" s="14"/>
      <c r="D45" s="40"/>
      <c r="E45" s="15" t="s">
        <v>80</v>
      </c>
      <c r="F45" s="4">
        <v>0.1</v>
      </c>
      <c r="G45" s="14"/>
      <c r="H45" s="14"/>
      <c r="I45" s="14"/>
      <c r="J45" s="14"/>
      <c r="K45" s="35"/>
      <c r="L45" s="38"/>
    </row>
    <row r="46" spans="1:12" ht="15.45" customHeight="1" x14ac:dyDescent="0.3">
      <c r="A46" s="14"/>
      <c r="D46" s="40"/>
      <c r="E46" s="15" t="s">
        <v>148</v>
      </c>
      <c r="F46" s="4">
        <v>0.1</v>
      </c>
      <c r="G46" s="14"/>
      <c r="H46" s="14"/>
      <c r="I46" s="14"/>
      <c r="J46" s="14"/>
      <c r="K46" s="14"/>
      <c r="L46" s="14"/>
    </row>
    <row r="47" spans="1:12" ht="15.45" customHeight="1" x14ac:dyDescent="0.3">
      <c r="A47" s="14"/>
      <c r="B47" s="39"/>
      <c r="C47" s="35"/>
      <c r="D47" s="40"/>
      <c r="E47" s="14"/>
      <c r="F47" s="14"/>
      <c r="G47" s="14"/>
      <c r="H47" s="14"/>
      <c r="I47" s="14"/>
      <c r="J47" s="14"/>
      <c r="K47" s="14"/>
      <c r="L47" s="14"/>
    </row>
    <row r="48" spans="1:12" ht="15.45" customHeight="1" thickBot="1" x14ac:dyDescent="0.35">
      <c r="A48" s="14"/>
      <c r="B48" s="151" t="s">
        <v>70</v>
      </c>
      <c r="C48" s="148"/>
      <c r="H48" s="14"/>
      <c r="I48" s="14"/>
      <c r="K48" s="14"/>
      <c r="L48" s="14"/>
    </row>
    <row r="49" spans="1:12" ht="15.45" customHeight="1" x14ac:dyDescent="0.3">
      <c r="A49" s="14"/>
      <c r="B49" s="15" t="s">
        <v>73</v>
      </c>
      <c r="C49" s="78" t="str">
        <f>Cockpit!$F$39</f>
        <v>OK</v>
      </c>
      <c r="H49" s="14"/>
      <c r="I49" s="14"/>
      <c r="K49" s="14"/>
      <c r="L49" s="14"/>
    </row>
    <row r="50" spans="1:12" ht="15.45" customHeight="1" x14ac:dyDescent="0.3">
      <c r="A50" s="14"/>
      <c r="B50" s="15" t="s">
        <v>191</v>
      </c>
      <c r="C50" s="78" t="str">
        <f>IF(Cockpit!$C$23&gt;0,"OK","KEINE RESERVE!")</f>
        <v>OK</v>
      </c>
      <c r="H50" s="14"/>
      <c r="I50" s="14"/>
      <c r="K50" s="14"/>
      <c r="L50" s="14"/>
    </row>
    <row r="51" spans="1:12" ht="15.45" customHeight="1" x14ac:dyDescent="0.3">
      <c r="A51" s="14"/>
      <c r="B51" s="15" t="s">
        <v>77</v>
      </c>
      <c r="C51" s="78" t="str">
        <f>IF(Cockpit!$F$9&lt;Cockpit!$C$38,"OK","EK &gt;= INVESTITION!")</f>
        <v>OK</v>
      </c>
      <c r="D51" s="42"/>
      <c r="E51" s="14"/>
      <c r="F51" s="14"/>
      <c r="G51" s="14"/>
      <c r="H51" s="14"/>
      <c r="I51" s="14"/>
      <c r="J51" s="14"/>
      <c r="K51" s="14"/>
      <c r="L51" s="14"/>
    </row>
    <row r="52" spans="1:12" ht="15.45" customHeight="1" x14ac:dyDescent="0.3">
      <c r="A52" s="14"/>
      <c r="B52" s="15" t="s">
        <v>79</v>
      </c>
      <c r="C52" s="78" t="str">
        <f>IF(Cockpit!$F$14&lt;=Cockpit!$F$10,"OK","KFW &gt; DARLEHEN!")</f>
        <v>OK</v>
      </c>
      <c r="D52" s="42"/>
      <c r="E52" s="14"/>
      <c r="F52" s="14"/>
      <c r="G52" s="14"/>
      <c r="H52" s="14"/>
      <c r="I52" s="14"/>
      <c r="J52" s="14"/>
    </row>
    <row r="53" spans="1:12" ht="15.45" customHeight="1" x14ac:dyDescent="0.3">
      <c r="A53" s="14"/>
      <c r="D53" s="42"/>
      <c r="E53" s="14"/>
      <c r="F53" s="14"/>
      <c r="G53" s="14"/>
      <c r="J53" s="14"/>
      <c r="K53" s="122"/>
      <c r="L53" s="122"/>
    </row>
    <row r="54" spans="1:12" ht="46.05" customHeight="1" x14ac:dyDescent="0.3">
      <c r="A54" s="14"/>
      <c r="B54" s="144" t="s">
        <v>161</v>
      </c>
      <c r="C54" s="144"/>
      <c r="D54" s="144"/>
      <c r="E54" s="144"/>
      <c r="F54" s="144"/>
      <c r="G54" s="144"/>
      <c r="H54" s="144"/>
      <c r="I54" s="144"/>
      <c r="J54" s="144"/>
      <c r="K54" s="144"/>
      <c r="L54" s="144"/>
    </row>
    <row r="55" spans="1:12" x14ac:dyDescent="0.3">
      <c r="A55" s="14"/>
      <c r="D55" s="41"/>
      <c r="K55" s="14"/>
      <c r="L55" s="14"/>
    </row>
    <row r="56" spans="1:12" x14ac:dyDescent="0.3">
      <c r="K56" s="102"/>
      <c r="L56" s="102"/>
    </row>
    <row r="57" spans="1:12" x14ac:dyDescent="0.3">
      <c r="K57" s="14"/>
      <c r="L57" s="14"/>
    </row>
  </sheetData>
  <sheetProtection algorithmName="SHA-512" hashValue="yb3dF5myFo0SjfW1t/sjTU7WVYmBnIn404GBPyCb5NYE5JV9RWuk/GkMVNAslD5q3q+lEEFNfBerl80Asg377A==" saltValue="dbzkSz+oE7ZHdZ7TKtIpCQ==" spinCount="100000" sheet="1" objects="1" scenarios="1"/>
  <mergeCells count="26">
    <mergeCell ref="B1:I1"/>
    <mergeCell ref="E13:F13"/>
    <mergeCell ref="E8:F8"/>
    <mergeCell ref="K15:L15"/>
    <mergeCell ref="H20:I20"/>
    <mergeCell ref="B8:C8"/>
    <mergeCell ref="K8:L8"/>
    <mergeCell ref="B6:C6"/>
    <mergeCell ref="B17:C17"/>
    <mergeCell ref="E6:F6"/>
    <mergeCell ref="H8:I8"/>
    <mergeCell ref="E19:F19"/>
    <mergeCell ref="H6:I6"/>
    <mergeCell ref="H12:I12"/>
    <mergeCell ref="B54:L54"/>
    <mergeCell ref="B4:C4"/>
    <mergeCell ref="K6:L6"/>
    <mergeCell ref="E25:F25"/>
    <mergeCell ref="B2:L2"/>
    <mergeCell ref="H24:I24"/>
    <mergeCell ref="B48:C48"/>
    <mergeCell ref="B32:C32"/>
    <mergeCell ref="B27:C27"/>
    <mergeCell ref="E35:F35"/>
    <mergeCell ref="K20:L20"/>
    <mergeCell ref="E29:F29"/>
  </mergeCells>
  <conditionalFormatting sqref="C49:C52">
    <cfRule type="cellIs" dxfId="19" priority="119" stopIfTrue="1" operator="notEqual">
      <formula>"OK"</formula>
    </cfRule>
  </conditionalFormatting>
  <conditionalFormatting sqref="F39">
    <cfRule type="cellIs" dxfId="18" priority="123" stopIfTrue="1" operator="notEqual">
      <formula>"OK"</formula>
    </cfRule>
  </conditionalFormatting>
  <dataValidations count="7">
    <dataValidation type="decimal" allowBlank="1" showInputMessage="1" showErrorMessage="1" error="Eigenkapital muss unter der Gesamtinvestition liegen (mind. 1.000 EUR Darlehen)." sqref="F9" xr:uid="{3D0F2002-06AF-44EB-93FF-AE35529BA812}">
      <formula1>0</formula1>
      <formula2>$C$38-1000</formula2>
    </dataValidation>
    <dataValidation type="whole" allowBlank="1" showInputMessage="1" showErrorMessage="1" error="Laufzeit KfW-Darlehen in ganzen Jahren (1-50)." sqref="F16" xr:uid="{5BAB21ED-86FF-4317-959E-DB185E501497}">
      <formula1>1</formula1>
      <formula2>50</formula2>
    </dataValidation>
    <dataValidation type="whole" allowBlank="1" showInputMessage="1" showErrorMessage="1" error="Laufzeit Bankdarlehen in ganzen Jahren (1-50)." sqref="F22" xr:uid="{428973F4-44DD-429D-A673-95F5D544197B}">
      <formula1>1</formula1>
      <formula2>50</formula2>
    </dataValidation>
    <dataValidation type="decimal" allowBlank="1" showInputMessage="1" showErrorMessage="1" error="Das KfW-Darlehen kann nicht groesser sein als das Gesamtdarlehen." sqref="F14" xr:uid="{ED9ABD30-9376-4C79-9248-205399452148}">
      <formula1>0</formula1>
      <formula2>$C$38-$F$9</formula2>
    </dataValidation>
    <dataValidation type="whole" allowBlank="1" showInputMessage="1" showErrorMessage="1" error="Haltedauer in ganzen Jahren (1-35) - der Jahresverlauf rechnet 35 Jahre." sqref="L21" xr:uid="{6F73D44D-70FF-4FCC-828E-807AE97742FC}">
      <formula1>1</formula1>
      <formula2>35</formula2>
    </dataValidation>
    <dataValidation type="list" allowBlank="1" showInputMessage="1" showErrorMessage="1" sqref="C33 F40" xr:uid="{53EB8552-06E5-4D48-95A3-FF91C7B11E75}">
      <formula1>Liste_JaNein</formula1>
    </dataValidation>
    <dataValidation type="list" allowBlank="1" showInputMessage="1" showErrorMessage="1" sqref="F36" xr:uid="{F10398CD-401B-4F5A-809D-09DFE81D2DC8}">
      <formula1>Liste_AfaMethode</formula1>
    </dataValidation>
  </dataValidations>
  <pageMargins left="0.2" right="0.2" top="0.35" bottom="0.35" header="0.5" footer="0.5"/>
  <pageSetup scale="62"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127" stopIfTrue="1" operator="greaterThanOrEqual" id="{B04F4556-D33E-44AF-9946-6EE2456A9754}">
            <xm:f>Konfiguration!$C$8</xm:f>
            <x14:dxf>
              <fill>
                <patternFill>
                  <bgColor rgb="FFC6EFCE"/>
                </patternFill>
              </fill>
            </x14:dxf>
          </x14:cfRule>
          <x14:cfRule type="cellIs" priority="128" stopIfTrue="1" operator="greaterThanOrEqual" id="{B1458A59-5C26-44BB-9ECB-1053B56EFF06}">
            <xm:f>Konfiguration!$D$8</xm:f>
            <x14:dxf>
              <fill>
                <patternFill>
                  <bgColor rgb="FFFFEB9C"/>
                </patternFill>
              </fill>
            </x14:dxf>
          </x14:cfRule>
          <x14:cfRule type="cellIs" priority="129" stopIfTrue="1" operator="lessThan" id="{0F530531-0F57-41CC-A800-8A83333BC03D}">
            <xm:f>Konfiguration!$D$8</xm:f>
            <x14:dxf>
              <fill>
                <patternFill>
                  <bgColor rgb="FFFFC7CE"/>
                </patternFill>
              </fill>
            </x14:dxf>
          </x14:cfRule>
          <xm:sqref>L11:L12</xm:sqref>
        </x14:conditionalFormatting>
        <x14:conditionalFormatting xmlns:xm="http://schemas.microsoft.com/office/excel/2006/main">
          <x14:cfRule type="cellIs" priority="133" stopIfTrue="1" operator="greaterThanOrEqual" id="{46EA4C15-C9D5-4843-9551-05FDFB6A6BF8}">
            <xm:f>Konfiguration!$C$9</xm:f>
            <x14:dxf>
              <fill>
                <patternFill>
                  <bgColor rgb="FFC6EFCE"/>
                </patternFill>
              </fill>
            </x14:dxf>
          </x14:cfRule>
          <x14:cfRule type="cellIs" priority="134" stopIfTrue="1" operator="greaterThanOrEqual" id="{47413E24-FE5A-4A50-AE47-6D491872657C}">
            <xm:f>Konfiguration!$D$9</xm:f>
            <x14:dxf>
              <fill>
                <patternFill>
                  <bgColor rgb="FFFFEB9C"/>
                </patternFill>
              </fill>
            </x14:dxf>
          </x14:cfRule>
          <x14:cfRule type="cellIs" priority="135" stopIfTrue="1" operator="lessThan" id="{204D0E59-3BA2-40D1-9808-C842D4C356F0}">
            <xm:f>Konfiguration!$D$9</xm:f>
            <x14:dxf>
              <fill>
                <patternFill>
                  <bgColor rgb="FFFFC7CE"/>
                </patternFill>
              </fill>
            </x14:dxf>
          </x14:cfRule>
          <xm:sqref>L13</xm:sqref>
        </x14:conditionalFormatting>
        <x14:conditionalFormatting xmlns:xm="http://schemas.microsoft.com/office/excel/2006/main">
          <x14:cfRule type="cellIs" priority="136" stopIfTrue="1" operator="greaterThanOrEqual" id="{E1FB88DF-9D55-4071-AFE1-EFB2FF8C8FA5}">
            <xm:f>Konfiguration!$C$9</xm:f>
            <x14:dxf>
              <fill>
                <patternFill>
                  <bgColor rgb="FFC6EFCE"/>
                </patternFill>
              </fill>
            </x14:dxf>
          </x14:cfRule>
          <x14:cfRule type="cellIs" priority="137" stopIfTrue="1" operator="greaterThanOrEqual" id="{0926E351-E738-40A7-9FA0-F0539D30AA35}">
            <xm:f>Konfiguration!$D$9</xm:f>
            <x14:dxf>
              <fill>
                <patternFill>
                  <bgColor rgb="FFFFEB9C"/>
                </patternFill>
              </fill>
            </x14:dxf>
          </x14:cfRule>
          <x14:cfRule type="cellIs" priority="138" stopIfTrue="1" operator="lessThan" id="{DE6D8B3A-115D-47D1-BCFE-255085E0CDD7}">
            <xm:f>Konfiguration!$D$9</xm:f>
            <x14:dxf>
              <fill>
                <patternFill>
                  <bgColor rgb="FFFFC7CE"/>
                </patternFill>
              </fill>
            </x14:dxf>
          </x14:cfRule>
          <xm:sqref>L18</xm:sqref>
        </x14:conditionalFormatting>
        <x14:conditionalFormatting xmlns:xm="http://schemas.microsoft.com/office/excel/2006/main">
          <x14:cfRule type="expression" priority="142" stopIfTrue="1" id="{8458A4F8-F8C4-4AA6-AAC2-9D9097F416C3}">
            <xm:f>$L$39&gt;=Konfiguration!$C$10</xm:f>
            <x14:dxf>
              <fill>
                <patternFill>
                  <bgColor rgb="FFC6EFCE"/>
                </patternFill>
              </fill>
            </x14:dxf>
          </x14:cfRule>
          <x14:cfRule type="expression" priority="143" stopIfTrue="1" id="{59BF5C27-F89D-4B63-9AEF-FCE84B2EA44B}">
            <xm:f>$L$39&gt;=Konfiguration!$D$10</xm:f>
            <x14:dxf>
              <fill>
                <patternFill>
                  <bgColor rgb="FFFFEB9C"/>
                </patternFill>
              </fill>
            </x14:dxf>
          </x14:cfRule>
          <x14:cfRule type="expression" priority="144" stopIfTrue="1" id="{4C2E9A0E-8E72-4157-9D08-6D023F1280E2}">
            <xm:f>$L$39&lt;Konfiguration!$D$10</xm:f>
            <x14:dxf>
              <fill>
                <patternFill>
                  <bgColor rgb="FFFFC7CE"/>
                </patternFill>
              </fill>
            </x14:dxf>
          </x14:cfRule>
          <xm:sqref>L38</xm:sqref>
        </x14:conditionalFormatting>
        <x14:conditionalFormatting xmlns:xm="http://schemas.microsoft.com/office/excel/2006/main">
          <x14:cfRule type="cellIs" priority="139" stopIfTrue="1" operator="greaterThanOrEqual" id="{392C053E-E477-4482-AC23-B9207B14800B}">
            <xm:f>Konfiguration!$C$10</xm:f>
            <x14:dxf>
              <fill>
                <patternFill>
                  <bgColor rgb="FFC6EFCE"/>
                </patternFill>
              </fill>
            </x14:dxf>
          </x14:cfRule>
          <x14:cfRule type="cellIs" priority="140" stopIfTrue="1" operator="greaterThanOrEqual" id="{3B2C31A6-20D2-400E-8564-82E7B6A417BE}">
            <xm:f>Konfiguration!$D$10</xm:f>
            <x14:dxf>
              <fill>
                <patternFill>
                  <bgColor rgb="FFFFEB9C"/>
                </patternFill>
              </fill>
            </x14:dxf>
          </x14:cfRule>
          <x14:cfRule type="cellIs" priority="141" stopIfTrue="1" operator="lessThan" id="{6EB13744-2A5C-448E-B416-EADD856CAA88}">
            <xm:f>Konfiguration!$D$10</xm:f>
            <x14:dxf>
              <fill>
                <patternFill>
                  <bgColor rgb="FFFFC7CE"/>
                </patternFill>
              </fill>
            </x14:dxf>
          </x14:cfRule>
          <xm:sqref>L39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92EA7-08FC-46F4-8B8C-85BEF06F7A74}">
  <sheetPr>
    <tabColor rgb="FFCD1719"/>
    <pageSetUpPr fitToPage="1"/>
  </sheetPr>
  <dimension ref="B1:L35"/>
  <sheetViews>
    <sheetView showGridLines="0" zoomScale="85" zoomScaleNormal="85" workbookViewId="0">
      <selection activeCell="A1" sqref="A1"/>
    </sheetView>
  </sheetViews>
  <sheetFormatPr baseColWidth="10" defaultColWidth="11.5546875" defaultRowHeight="13.8" x14ac:dyDescent="0.3"/>
  <cols>
    <col min="1" max="1" width="2" style="45" customWidth="1"/>
    <col min="2" max="2" width="38" style="45" customWidth="1"/>
    <col min="3" max="3" width="15" style="45" customWidth="1"/>
    <col min="4" max="4" width="2" style="45" customWidth="1"/>
    <col min="5" max="5" width="38" style="45" customWidth="1"/>
    <col min="6" max="6" width="15" style="45" customWidth="1"/>
    <col min="7" max="7" width="2" style="45" customWidth="1"/>
    <col min="8" max="8" width="38" style="45" customWidth="1"/>
    <col min="9" max="9" width="15" style="45" customWidth="1"/>
    <col min="10" max="10" width="2" style="45" customWidth="1"/>
    <col min="11" max="11" width="38" style="45" customWidth="1"/>
    <col min="12" max="12" width="15" style="45" customWidth="1"/>
    <col min="13" max="13" width="8.88671875" style="45" customWidth="1"/>
    <col min="14" max="16384" width="11.5546875" style="45"/>
  </cols>
  <sheetData>
    <row r="1" spans="2:12" ht="40.049999999999997" customHeight="1" x14ac:dyDescent="0.5">
      <c r="B1" s="131" t="s">
        <v>172</v>
      </c>
      <c r="C1" s="130"/>
      <c r="D1" s="130"/>
      <c r="E1" s="130"/>
      <c r="F1" s="130"/>
      <c r="G1" s="130"/>
      <c r="H1" s="130"/>
      <c r="I1" s="130"/>
    </row>
    <row r="2" spans="2:12" ht="13.95" customHeight="1" x14ac:dyDescent="0.3">
      <c r="B2" s="46"/>
    </row>
    <row r="3" spans="2:12" ht="30" customHeight="1" x14ac:dyDescent="0.3">
      <c r="B3" s="125" t="str">
        <f>Cockpit!$B$4</f>
        <v>DHH Partner 116W; Musterstraße 1, 44135 Dortmund</v>
      </c>
      <c r="C3" s="126"/>
      <c r="D3" s="126"/>
      <c r="E3" s="126"/>
      <c r="F3" s="126"/>
      <c r="G3" s="126"/>
      <c r="H3" s="126"/>
      <c r="I3" s="126"/>
      <c r="K3" s="127">
        <f>Cockpit!$L$4</f>
        <v>46266</v>
      </c>
      <c r="L3" s="128"/>
    </row>
    <row r="4" spans="2:12" ht="19.95" customHeight="1" x14ac:dyDescent="0.3">
      <c r="B4" s="124" t="s">
        <v>68</v>
      </c>
      <c r="C4" s="124"/>
      <c r="E4" s="124" t="s">
        <v>115</v>
      </c>
      <c r="F4" s="124"/>
      <c r="H4" s="124" t="s">
        <v>116</v>
      </c>
      <c r="I4" s="124"/>
      <c r="K4" s="124" t="s">
        <v>127</v>
      </c>
      <c r="L4" s="124"/>
    </row>
    <row r="5" spans="2:12" ht="18" customHeight="1" x14ac:dyDescent="0.3">
      <c r="B5" s="45" t="s">
        <v>4</v>
      </c>
      <c r="C5" s="47">
        <f>Cockpit!$C$15</f>
        <v>84052.5</v>
      </c>
      <c r="E5" s="45" t="s">
        <v>8</v>
      </c>
      <c r="F5" s="47">
        <f>Cockpit!$F$9</f>
        <v>55000</v>
      </c>
      <c r="H5" s="45" t="s">
        <v>118</v>
      </c>
      <c r="I5" s="47">
        <f>Cockpit!$I$14</f>
        <v>17690.400000000001</v>
      </c>
      <c r="K5" s="45" t="s">
        <v>178</v>
      </c>
      <c r="L5" s="74">
        <f>Cockpit!$I$17+Cockpit!$I$22</f>
        <v>18972</v>
      </c>
    </row>
    <row r="6" spans="2:12" ht="18" customHeight="1" x14ac:dyDescent="0.3">
      <c r="B6" s="45" t="s">
        <v>23</v>
      </c>
      <c r="C6" s="47">
        <f>Cockpit!$C$25</f>
        <v>361026</v>
      </c>
      <c r="E6" s="45" t="s">
        <v>14</v>
      </c>
      <c r="F6" s="47">
        <f>Cockpit!$F$14</f>
        <v>150000</v>
      </c>
      <c r="H6" s="45" t="s">
        <v>119</v>
      </c>
      <c r="I6" s="47">
        <f>Cockpit!$I$15*Cockpit!$I$16*12</f>
        <v>720</v>
      </c>
      <c r="K6" s="108" t="s">
        <v>173</v>
      </c>
      <c r="L6" s="74">
        <f>-Jahresverlauf!$J$6</f>
        <v>15776.286598799998</v>
      </c>
    </row>
    <row r="7" spans="2:12" ht="18" customHeight="1" x14ac:dyDescent="0.3">
      <c r="B7" s="45" t="s">
        <v>45</v>
      </c>
      <c r="C7" s="47">
        <f>Cockpit!$C$30</f>
        <v>20000</v>
      </c>
      <c r="E7" s="45" t="s">
        <v>30</v>
      </c>
      <c r="F7" s="47">
        <f>Cockpit!$F$20</f>
        <v>273698.5</v>
      </c>
      <c r="H7" s="45" t="s">
        <v>120</v>
      </c>
      <c r="I7" s="47">
        <f>Cockpit!$I$22</f>
        <v>561.6</v>
      </c>
      <c r="K7" s="45" t="s">
        <v>123</v>
      </c>
      <c r="L7" s="74">
        <f>-Jahresverlauf!$D$6</f>
        <v>-1274.2080000000001</v>
      </c>
    </row>
    <row r="8" spans="2:12" ht="18" customHeight="1" thickBot="1" x14ac:dyDescent="0.35">
      <c r="B8" s="45" t="s">
        <v>55</v>
      </c>
      <c r="C8" s="47">
        <f>Cockpit!$C$36</f>
        <v>13620</v>
      </c>
      <c r="K8" s="45" t="s">
        <v>177</v>
      </c>
      <c r="L8" s="74">
        <f>-(Jahresverlauf!$E$6+Jahresverlauf!$F$6)</f>
        <v>-21105.700772111431</v>
      </c>
    </row>
    <row r="9" spans="2:12" ht="19.95" customHeight="1" x14ac:dyDescent="0.3">
      <c r="B9" s="49" t="s">
        <v>68</v>
      </c>
      <c r="C9" s="50">
        <f>Cockpit!$C$38</f>
        <v>478698.5</v>
      </c>
      <c r="E9" s="49" t="s">
        <v>125</v>
      </c>
      <c r="F9" s="50">
        <f>Cockpit!$C$38</f>
        <v>478698.5</v>
      </c>
      <c r="H9" s="49" t="s">
        <v>126</v>
      </c>
      <c r="I9" s="50">
        <f>Cockpit!$I$17+Cockpit!$I$22</f>
        <v>18972</v>
      </c>
      <c r="K9" s="49" t="s">
        <v>127</v>
      </c>
      <c r="L9" s="77">
        <f>Jahresverlauf!$K$6</f>
        <v>12368.377826688567</v>
      </c>
    </row>
    <row r="10" spans="2:12" customFormat="1" ht="19.95" customHeight="1" x14ac:dyDescent="0.3"/>
    <row r="11" spans="2:12" ht="6" customHeight="1" x14ac:dyDescent="0.3"/>
    <row r="12" spans="2:12" ht="19.95" customHeight="1" x14ac:dyDescent="0.3">
      <c r="H12" s="80"/>
      <c r="I12" s="80"/>
      <c r="J12" s="80"/>
    </row>
    <row r="13" spans="2:12" ht="19.95" customHeight="1" x14ac:dyDescent="0.3">
      <c r="H13" s="80"/>
      <c r="I13" s="80"/>
      <c r="J13" s="80"/>
    </row>
    <row r="14" spans="2:12" ht="19.95" customHeight="1" x14ac:dyDescent="0.3">
      <c r="H14" s="80"/>
      <c r="I14" s="80"/>
      <c r="J14" s="80"/>
    </row>
    <row r="15" spans="2:12" ht="19.95" customHeight="1" x14ac:dyDescent="0.3">
      <c r="H15" s="80"/>
      <c r="I15" s="80"/>
      <c r="J15" s="80"/>
    </row>
    <row r="16" spans="2:12" ht="19.95" customHeight="1" x14ac:dyDescent="0.3">
      <c r="H16" s="80"/>
      <c r="I16" s="80"/>
      <c r="J16" s="80"/>
    </row>
    <row r="17" spans="2:12" ht="19.95" customHeight="1" x14ac:dyDescent="0.3">
      <c r="H17" s="80"/>
      <c r="I17" s="80"/>
      <c r="J17" s="80"/>
    </row>
    <row r="18" spans="2:12" ht="19.95" customHeight="1" x14ac:dyDescent="0.3">
      <c r="H18" s="80"/>
      <c r="I18" s="80"/>
      <c r="J18" s="80"/>
    </row>
    <row r="19" spans="2:12" ht="19.95" customHeight="1" x14ac:dyDescent="0.3">
      <c r="H19" s="80"/>
      <c r="I19" s="80"/>
      <c r="J19" s="80"/>
    </row>
    <row r="20" spans="2:12" ht="19.95" customHeight="1" x14ac:dyDescent="0.3">
      <c r="H20" s="80"/>
      <c r="I20" s="80"/>
      <c r="J20" s="80"/>
    </row>
    <row r="21" spans="2:12" ht="19.95" customHeight="1" x14ac:dyDescent="0.3">
      <c r="H21" s="80"/>
      <c r="I21" s="80"/>
      <c r="J21" s="80"/>
    </row>
    <row r="22" spans="2:12" ht="19.95" customHeight="1" x14ac:dyDescent="0.3">
      <c r="H22" s="80"/>
      <c r="I22" s="80"/>
      <c r="J22" s="80"/>
    </row>
    <row r="23" spans="2:12" ht="19.95" customHeight="1" x14ac:dyDescent="0.3">
      <c r="H23" s="80"/>
      <c r="I23" s="80"/>
      <c r="J23" s="80"/>
    </row>
    <row r="24" spans="2:12" ht="19.95" customHeight="1" x14ac:dyDescent="0.3">
      <c r="H24" s="80"/>
      <c r="I24" s="80"/>
      <c r="J24" s="80"/>
    </row>
    <row r="25" spans="2:12" ht="19.95" customHeight="1" x14ac:dyDescent="0.3">
      <c r="H25" s="107"/>
      <c r="I25" s="107"/>
      <c r="J25" s="80"/>
      <c r="K25" s="107"/>
    </row>
    <row r="26" spans="2:12" ht="25.95" customHeight="1" x14ac:dyDescent="0.3">
      <c r="B26" s="73"/>
      <c r="C26" s="73"/>
      <c r="H26" s="129"/>
      <c r="I26" s="129"/>
      <c r="J26" s="129"/>
      <c r="K26" s="129"/>
      <c r="L26" s="130"/>
    </row>
    <row r="27" spans="2:12" ht="19.95" customHeight="1" x14ac:dyDescent="0.3">
      <c r="B27" s="124" t="s">
        <v>117</v>
      </c>
      <c r="C27" s="124"/>
      <c r="D27" s="124"/>
      <c r="E27" s="124"/>
      <c r="F27" s="124"/>
      <c r="H27" s="124" t="s">
        <v>3</v>
      </c>
      <c r="I27" s="124"/>
      <c r="J27" s="124"/>
      <c r="K27" s="124"/>
      <c r="L27" s="124"/>
    </row>
    <row r="28" spans="2:12" ht="18" customHeight="1" x14ac:dyDescent="0.3">
      <c r="B28" s="45" t="s">
        <v>11</v>
      </c>
      <c r="C28" s="76">
        <f>Cockpit!$I$10</f>
        <v>109.2</v>
      </c>
      <c r="E28" s="45" t="s">
        <v>122</v>
      </c>
      <c r="F28" s="75">
        <f>Cockpit!$I$13</f>
        <v>13.5</v>
      </c>
      <c r="H28" s="45" t="s">
        <v>10</v>
      </c>
      <c r="I28" s="51">
        <f>Cockpit!$L$9</f>
        <v>4.0371382333463449E-2</v>
      </c>
      <c r="K28" s="45" t="str">
        <f>"Marktwert inkl. PV in Jahr "&amp;TEXT(Cockpit!$L$21+1,"0")</f>
        <v>Marktwert inkl. PV in Jahr 11</v>
      </c>
      <c r="L28" s="47">
        <f>Cockpit!$L$28+Cockpit!$L$30</f>
        <v>513951.40936277003</v>
      </c>
    </row>
    <row r="29" spans="2:12" ht="18" customHeight="1" x14ac:dyDescent="0.3">
      <c r="B29" s="45" t="s">
        <v>121</v>
      </c>
      <c r="C29" s="48">
        <f>Cockpit!$I$9</f>
        <v>1</v>
      </c>
      <c r="E29" s="45" t="s">
        <v>174</v>
      </c>
      <c r="F29" s="74">
        <f>Cockpit!$I$17</f>
        <v>18410.400000000001</v>
      </c>
      <c r="H29" s="45" t="s">
        <v>176</v>
      </c>
      <c r="I29" s="51">
        <f>Cockpit!$L$13</f>
        <v>0.34247524725090911</v>
      </c>
      <c r="K29" s="110" t="str">
        <f>"Restschuld in Jahr "&amp;TEXT(Cockpit!$L$21+1,"0")</f>
        <v>Restschuld in Jahr 11</v>
      </c>
      <c r="L29" s="47">
        <f>-Cockpit!$L$31</f>
        <v>348311.23005593446</v>
      </c>
    </row>
    <row r="30" spans="2:12" ht="18" customHeight="1" x14ac:dyDescent="0.3">
      <c r="B30" s="45" t="s">
        <v>119</v>
      </c>
      <c r="C30" s="48">
        <f>Cockpit!$I$15</f>
        <v>1</v>
      </c>
      <c r="E30" s="45" t="s">
        <v>175</v>
      </c>
      <c r="F30" s="74">
        <f>Jahresverlauf!C6</f>
        <v>561.6</v>
      </c>
      <c r="H30" s="45" t="s">
        <v>124</v>
      </c>
      <c r="I30" s="47">
        <f>Cockpit!$L$11</f>
        <v>12368.377826688567</v>
      </c>
      <c r="K30" s="110" t="str">
        <f>"Freies Vermögen in Jahr "&amp;TEXT(Cockpit!$L$21+1,"0")</f>
        <v>Freies Vermögen in Jahr 11</v>
      </c>
      <c r="L30" s="47">
        <f>Report!$L$28-Report!$L$29</f>
        <v>165640.17930683558</v>
      </c>
    </row>
    <row r="31" spans="2:12" ht="18" customHeight="1" x14ac:dyDescent="0.3">
      <c r="E31" s="109"/>
      <c r="F31" s="109"/>
      <c r="H31" s="45" t="str">
        <f>"kum. Cashflow nach St. ("&amp;TEXT(Cockpit!$L$21,"0")&amp;" Jahre)"</f>
        <v>kum. Cashflow nach St. (10 Jahre)</v>
      </c>
      <c r="I31" s="47">
        <f>Cockpit!$L$16</f>
        <v>58160.675469898139</v>
      </c>
      <c r="K31" s="45" t="s">
        <v>192</v>
      </c>
      <c r="L31" s="123">
        <f>Cockpit!L38</f>
        <v>168800.85477673373</v>
      </c>
    </row>
    <row r="32" spans="2:12" ht="18" customHeight="1" x14ac:dyDescent="0.3">
      <c r="E32" s="109"/>
      <c r="F32" s="109"/>
    </row>
    <row r="33" spans="2:6" ht="18" customHeight="1" x14ac:dyDescent="0.3">
      <c r="B33"/>
      <c r="C33"/>
      <c r="E33" s="109"/>
      <c r="F33" s="109"/>
    </row>
    <row r="34" spans="2:6" ht="19.95" customHeight="1" x14ac:dyDescent="0.3">
      <c r="B34"/>
      <c r="C34"/>
      <c r="E34" s="109"/>
      <c r="F34" s="109"/>
    </row>
    <row r="35" spans="2:6" ht="6" customHeight="1" x14ac:dyDescent="0.3"/>
  </sheetData>
  <sheetProtection algorithmName="SHA-512" hashValue="UI1UAqt4ggZpx5gfd7NceXphNDZsDPA+zc/3ZdUHsOa9jp6qPUkl0/fkRytqV01hQdlRER7C4EPtDhfqZIq3nA==" saltValue="15IU1gpchTf3oeYhbCaSQg==" spinCount="100000" sheet="1" objects="1" scenarios="1"/>
  <mergeCells count="11">
    <mergeCell ref="B1:I1"/>
    <mergeCell ref="B4:C4"/>
    <mergeCell ref="E4:F4"/>
    <mergeCell ref="H4:I4"/>
    <mergeCell ref="K4:L4"/>
    <mergeCell ref="B27:F27"/>
    <mergeCell ref="H27:L27"/>
    <mergeCell ref="B3:I3"/>
    <mergeCell ref="K3:L3"/>
    <mergeCell ref="H26:J26"/>
    <mergeCell ref="K26:L26"/>
  </mergeCells>
  <pageMargins left="0.7" right="0.7" top="0.78740157499999996" bottom="0.78740157499999996" header="0.3" footer="0.3"/>
  <pageSetup paperSize="9" scale="59"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1" stopIfTrue="1" operator="greaterThanOrEqual" id="{25B487CB-40DA-4043-811F-E6EDD74F56FA}">
            <xm:f>Konfiguration!$C$8</xm:f>
            <x14:dxf>
              <fill>
                <patternFill>
                  <bgColor rgb="FFC6EFCE"/>
                </patternFill>
              </fill>
            </x14:dxf>
          </x14:cfRule>
          <x14:cfRule type="cellIs" priority="2" stopIfTrue="1" operator="greaterThanOrEqual" id="{7BD6E494-51CC-4385-B7F1-1D6B691C3855}">
            <xm:f>Konfiguration!$D$8</xm:f>
            <x14:dxf>
              <fill>
                <patternFill>
                  <bgColor rgb="FFFFEB9C"/>
                </patternFill>
              </fill>
            </x14:dxf>
          </x14:cfRule>
          <x14:cfRule type="cellIs" priority="3" stopIfTrue="1" operator="lessThan" id="{ECFC19FD-4DA5-4A93-ACB6-C2489F67EA7E}">
            <xm:f>Konfiguration!$D$8</xm:f>
            <x14:dxf>
              <fill>
                <patternFill>
                  <bgColor rgb="FFFFC7CE"/>
                </patternFill>
              </fill>
            </x14:dxf>
          </x14:cfRule>
          <xm:sqref>L9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D1719"/>
    <pageSetUpPr fitToPage="1"/>
  </sheetPr>
  <dimension ref="A1:AC40"/>
  <sheetViews>
    <sheetView showGridLines="0" workbookViewId="0">
      <pane xSplit="1" ySplit="4" topLeftCell="B5" activePane="bottomRight" state="frozen"/>
      <selection pane="topRight"/>
      <selection pane="bottomLeft"/>
      <selection pane="bottomRight" activeCell="H2" sqref="H2"/>
    </sheetView>
  </sheetViews>
  <sheetFormatPr baseColWidth="10" defaultColWidth="8.88671875" defaultRowHeight="14.4" x14ac:dyDescent="0.3"/>
  <cols>
    <col min="1" max="1" width="6.109375" style="1" customWidth="1"/>
    <col min="2" max="14" width="13.5546875" style="1" customWidth="1"/>
    <col min="15" max="16" width="15.77734375" style="1" customWidth="1"/>
    <col min="17" max="17" width="16.109375" style="1" customWidth="1"/>
    <col min="18" max="21" width="15.77734375" style="1" customWidth="1"/>
    <col min="22" max="29" width="16.109375" style="1" customWidth="1"/>
    <col min="30" max="43" width="8.88671875" style="1" customWidth="1"/>
    <col min="44" max="16384" width="8.88671875" style="1"/>
  </cols>
  <sheetData>
    <row r="1" spans="1:29" ht="40.049999999999997" customHeight="1" x14ac:dyDescent="0.5">
      <c r="A1" s="101"/>
      <c r="B1" s="81" t="s">
        <v>179</v>
      </c>
      <c r="AC1" s="10"/>
    </row>
    <row r="2" spans="1:29" s="65" customFormat="1" ht="22.5" customHeight="1" x14ac:dyDescent="0.3">
      <c r="A2" s="66"/>
      <c r="B2" s="121" t="s">
        <v>109</v>
      </c>
      <c r="AC2" s="63"/>
    </row>
    <row r="3" spans="1:29" ht="18" customHeight="1" x14ac:dyDescent="0.3">
      <c r="O3" s="158" t="s">
        <v>83</v>
      </c>
      <c r="P3" s="150"/>
      <c r="Q3" s="150"/>
      <c r="R3" s="150"/>
      <c r="S3" s="150"/>
      <c r="T3" s="150"/>
      <c r="U3" s="150"/>
      <c r="V3" s="150"/>
      <c r="W3" s="150"/>
      <c r="X3" s="150"/>
      <c r="Y3" s="150"/>
      <c r="Z3" s="150"/>
      <c r="AA3" s="150"/>
      <c r="AB3" s="150"/>
      <c r="AC3" s="10"/>
    </row>
    <row r="4" spans="1:29" ht="25.5" customHeight="1" thickBot="1" x14ac:dyDescent="0.35">
      <c r="A4" s="98" t="s">
        <v>84</v>
      </c>
      <c r="B4" s="98" t="s">
        <v>15</v>
      </c>
      <c r="C4" s="98" t="s">
        <v>160</v>
      </c>
      <c r="D4" s="98" t="s">
        <v>85</v>
      </c>
      <c r="E4" s="98" t="s">
        <v>86</v>
      </c>
      <c r="F4" s="98" t="s">
        <v>87</v>
      </c>
      <c r="G4" s="98" t="s">
        <v>88</v>
      </c>
      <c r="H4" s="98" t="s">
        <v>89</v>
      </c>
      <c r="I4" s="98" t="s">
        <v>90</v>
      </c>
      <c r="J4" s="98" t="s">
        <v>51</v>
      </c>
      <c r="K4" s="98" t="s">
        <v>91</v>
      </c>
      <c r="L4" s="98" t="s">
        <v>92</v>
      </c>
      <c r="M4" s="98" t="s">
        <v>93</v>
      </c>
      <c r="N4" s="98" t="s">
        <v>94</v>
      </c>
      <c r="O4" s="98" t="s">
        <v>95</v>
      </c>
      <c r="P4" s="98" t="s">
        <v>96</v>
      </c>
      <c r="Q4" s="98" t="s">
        <v>97</v>
      </c>
      <c r="R4" s="98" t="s">
        <v>98</v>
      </c>
      <c r="S4" s="98" t="s">
        <v>99</v>
      </c>
      <c r="T4" s="98" t="s">
        <v>100</v>
      </c>
      <c r="U4" s="98" t="s">
        <v>101</v>
      </c>
      <c r="V4" s="98" t="s">
        <v>102</v>
      </c>
      <c r="W4" s="98" t="s">
        <v>103</v>
      </c>
      <c r="X4" s="98" t="s">
        <v>104</v>
      </c>
      <c r="Y4" s="98" t="s">
        <v>105</v>
      </c>
      <c r="Z4" s="98" t="s">
        <v>106</v>
      </c>
      <c r="AA4" s="98" t="s">
        <v>107</v>
      </c>
      <c r="AB4" s="98" t="s">
        <v>108</v>
      </c>
      <c r="AC4" s="98" t="s">
        <v>180</v>
      </c>
    </row>
    <row r="5" spans="1:29" ht="18" customHeight="1" x14ac:dyDescent="0.3">
      <c r="A5" s="94">
        <v>0</v>
      </c>
      <c r="B5" s="95"/>
      <c r="C5" s="95"/>
      <c r="D5" s="95"/>
      <c r="E5" s="95"/>
      <c r="F5" s="95"/>
      <c r="G5" s="95"/>
      <c r="H5" s="95"/>
      <c r="I5" s="95"/>
      <c r="J5" s="95"/>
      <c r="K5" s="95"/>
      <c r="L5" s="95"/>
      <c r="M5" s="95"/>
      <c r="N5" s="95"/>
      <c r="O5" s="96"/>
      <c r="P5" s="96"/>
      <c r="Q5" s="97">
        <f>-Cockpit!$F$9</f>
        <v>-55000</v>
      </c>
      <c r="R5" s="96"/>
      <c r="S5" s="96"/>
      <c r="T5" s="96"/>
      <c r="U5" s="96"/>
      <c r="V5" s="96"/>
      <c r="W5" s="96"/>
      <c r="X5" s="96"/>
      <c r="Y5" s="96"/>
      <c r="Z5" s="96"/>
      <c r="AA5" s="96"/>
      <c r="AB5" s="96"/>
      <c r="AC5" s="97">
        <f>-Cockpit!$F$9</f>
        <v>-55000</v>
      </c>
    </row>
    <row r="6" spans="1:29" ht="18" customHeight="1" x14ac:dyDescent="0.3">
      <c r="A6" s="88">
        <v>1</v>
      </c>
      <c r="B6" s="90">
        <f>Cockpit!$I$17*(1+Cockpit!$I$18)^(A6-1)</f>
        <v>18410.400000000001</v>
      </c>
      <c r="C6" s="90">
        <f>IF(Cockpit!$C$33="Ja",Cockpit!$I$22,0)</f>
        <v>561.6</v>
      </c>
      <c r="D6" s="90">
        <f>(Cockpit!$I$25*Cockpit!$I$9+IF(A6&lt;=15,Cockpit!$I$26,IF(A6&lt;=30,Cockpit!$I$27,Cockpit!$I$28))*Cockpit!$I$10+Cockpit!$I$29)*(1+Cockpit!$I$31)^(A6-1)+Cockpit!$I$30*B6</f>
        <v>1274.2080000000001</v>
      </c>
      <c r="E6" s="90">
        <f t="shared" ref="E6:E40" si="0">W6+Z6</f>
        <v>14637.94</v>
      </c>
      <c r="F6" s="90">
        <f t="shared" ref="F6:F40" si="1">X6+AA6</f>
        <v>6467.7607721114318</v>
      </c>
      <c r="G6" s="90">
        <f>B6+C6-D6-E6-F6</f>
        <v>-3407.9087721114311</v>
      </c>
      <c r="H6" s="90">
        <f t="shared" ref="H6:H40" si="2">R6+S6+T6+U6</f>
        <v>38102.6</v>
      </c>
      <c r="I6" s="90">
        <f t="shared" ref="I6:I40" si="3">B6-D6-E6-H6</f>
        <v>-35604.347999999998</v>
      </c>
      <c r="J6" s="90">
        <f>I6*Cockpit!$F$33</f>
        <v>-15776.286598799998</v>
      </c>
      <c r="K6" s="90">
        <f t="shared" ref="K6:K40" si="4">G6-J6</f>
        <v>12368.377826688567</v>
      </c>
      <c r="L6" s="90">
        <f>0+K6</f>
        <v>12368.377826688567</v>
      </c>
      <c r="M6" s="90">
        <f t="shared" ref="M6:M40" si="5">Y6+AB6</f>
        <v>417230.73922788858</v>
      </c>
      <c r="N6" s="90">
        <f>MIN(Cockpit!$L$22*(1+Cockpit!$L$23)^A6,Cockpit!$L$26*B6)+Cockpit!$C$36*MAX(0,1-A6/40)</f>
        <v>418308.30000000005</v>
      </c>
      <c r="O6" s="89">
        <f>0+R6+S6</f>
        <v>36102.6</v>
      </c>
      <c r="P6" s="89">
        <f>0+T6</f>
        <v>2000</v>
      </c>
      <c r="Q6" s="89">
        <f>IF(A6&gt;Cockpit!$L$21,0,IF(A6=Cockpit!$L$21,K6+Cockpit!$L$33,K6))</f>
        <v>12368.377826688567</v>
      </c>
      <c r="R6" s="89">
        <f>IF(AND(A6&lt;=Cockpit!$F$42,Cockpit!$F$40="Ja"),Cockpit!$F$41*Cockpit!$F$44,0)</f>
        <v>18051.3</v>
      </c>
      <c r="S6" s="89">
        <f>IF(Cockpit!$F$36="degressiv",MAX(0,MIN(0.05*Cockpit!$F$37,Cockpit!$F$37-R6)),MIN(0.03*Cockpit!$F$37,MAX(0,Cockpit!$F$37-R6)))</f>
        <v>18051.3</v>
      </c>
      <c r="T6" s="89">
        <f>MIN(Cockpit!$F$45*Cockpit!$C$28,MAX(0,Cockpit!$C$28-0))</f>
        <v>2000</v>
      </c>
      <c r="U6" s="89">
        <f>IF(Cockpit!$F$46&gt;0,MIN(Cockpit!$C$24*Cockpit!$F$46,MAX(0,Cockpit!$C$24-0)),0)</f>
        <v>0</v>
      </c>
      <c r="V6" s="89">
        <f>0+U6</f>
        <v>0</v>
      </c>
      <c r="W6" s="89">
        <f>Cockpit!$F$14*Cockpit!$F$15</f>
        <v>3690</v>
      </c>
      <c r="X6" s="89">
        <f>MIN(Cockpit!$F$17-W6,Cockpit!$F$14)</f>
        <v>2751.6680059020773</v>
      </c>
      <c r="Y6" s="89">
        <f>Cockpit!$F$14-X6</f>
        <v>147248.33199409791</v>
      </c>
      <c r="Z6" s="89">
        <f>Cockpit!$F$20*Cockpit!$F$21</f>
        <v>10947.94</v>
      </c>
      <c r="AA6" s="89">
        <f>MIN(Cockpit!$F$23-Z6,Cockpit!$F$20)</f>
        <v>3716.0927662093545</v>
      </c>
      <c r="AB6" s="89">
        <f>Cockpit!$F$20-AA6</f>
        <v>269982.40723379067</v>
      </c>
      <c r="AC6" s="89">
        <f>IF(A6&gt;Cockpit!$L$21,0,K6)</f>
        <v>12368.377826688567</v>
      </c>
    </row>
    <row r="7" spans="1:29" ht="18" customHeight="1" x14ac:dyDescent="0.3">
      <c r="A7" s="91">
        <v>2</v>
      </c>
      <c r="B7" s="92">
        <f>Cockpit!$I$17*(1+Cockpit!$I$18)^(A7-1)</f>
        <v>18870.66</v>
      </c>
      <c r="C7" s="90">
        <f>IF(Cockpit!$C$33="Ja",Cockpit!$I$22,0)</f>
        <v>561.6</v>
      </c>
      <c r="D7" s="90">
        <f>(Cockpit!$I$25*Cockpit!$I$9+IF(A7&lt;=15,Cockpit!$I$26,IF(A7&lt;=30,Cockpit!$I$27,Cockpit!$I$28))*Cockpit!$I$10+Cockpit!$I$29)*(1+Cockpit!$I$31)^(A7-1)+Cockpit!$I$30*B7</f>
        <v>1306.0631999999998</v>
      </c>
      <c r="E7" s="92">
        <f t="shared" si="0"/>
        <v>14421.605256406436</v>
      </c>
      <c r="F7" s="92">
        <f t="shared" si="1"/>
        <v>6684.0955157049966</v>
      </c>
      <c r="G7" s="90">
        <f t="shared" ref="G7:G40" si="6">B7+C7-D7-E7-F7</f>
        <v>-2979.5039721114345</v>
      </c>
      <c r="H7" s="92">
        <f t="shared" si="2"/>
        <v>37200.035000000003</v>
      </c>
      <c r="I7" s="92">
        <f t="shared" si="3"/>
        <v>-34057.043456406442</v>
      </c>
      <c r="J7" s="92">
        <f>I7*Cockpit!$F$33</f>
        <v>-15090.675955533692</v>
      </c>
      <c r="K7" s="92">
        <f t="shared" si="4"/>
        <v>12111.171983422257</v>
      </c>
      <c r="L7" s="92">
        <f t="shared" ref="L7:L40" si="7">L6+K7</f>
        <v>24479.549810110824</v>
      </c>
      <c r="M7" s="92">
        <f t="shared" si="5"/>
        <v>410546.64371218358</v>
      </c>
      <c r="N7" s="90">
        <f>MIN(Cockpit!$L$22*(1+Cockpit!$L$23)^A7,Cockpit!$L$26*B7)+Cockpit!$C$36*MAX(0,1-A7/40)</f>
        <v>428093.52</v>
      </c>
      <c r="O7" s="93">
        <f t="shared" ref="O7:O40" si="8">O6+R7+S7</f>
        <v>71302.634999999995</v>
      </c>
      <c r="P7" s="93">
        <f t="shared" ref="P7:P40" si="9">P6+T7</f>
        <v>4000</v>
      </c>
      <c r="Q7" s="89">
        <f>IF(A7&gt;Cockpit!$L$21,0,IF(A7=Cockpit!$L$21,K7+Cockpit!$L$33,K7))</f>
        <v>12111.171983422257</v>
      </c>
      <c r="R7" s="93">
        <f>IF(AND(A7&lt;=Cockpit!$F$42,Cockpit!$F$40="Ja"),Cockpit!$F$41*Cockpit!$F$44,0)</f>
        <v>18051.3</v>
      </c>
      <c r="S7" s="93">
        <f>IF(Cockpit!$F$36="degressiv",MAX(0,MIN(0.05*(Cockpit!$F$37-O6+IF(A7&lt;=Cockpit!$F$42,(A7-1)*R7,0)),Cockpit!$F$37-O6-R7)),IF(OR(Cockpit!$F$40&lt;&gt;"Ja",Cockpit!$F$42&lt;=0,A7&lt;=Cockpit!$F$42),MIN(0.03*Cockpit!$F$37,MAX(0,Cockpit!$F$37-O6-R7)),MIN((Cockpit!$F$37-Cockpit!$F$42*(0.03*Cockpit!$F$37+Cockpit!$F$41*Cockpit!$F$44))/MAX(1,ROUNDDOWN(1/0.03,0)-Cockpit!$F$42),MAX(0,Cockpit!$F$37-O6-R7))))</f>
        <v>17148.735000000001</v>
      </c>
      <c r="T7" s="93">
        <f>MIN(Cockpit!$F$45*Cockpit!$C$28,MAX(0,Cockpit!$C$28-P6))</f>
        <v>2000</v>
      </c>
      <c r="U7" s="93">
        <f>IF(Cockpit!$F$46&gt;0,MIN(Cockpit!$C$24*Cockpit!$F$46,MAX(0,Cockpit!$C$24-V6)),0)</f>
        <v>0</v>
      </c>
      <c r="V7" s="93">
        <f t="shared" ref="V7:V40" si="10">V6+U7</f>
        <v>0</v>
      </c>
      <c r="W7" s="93">
        <f>Y6*Cockpit!$F$15</f>
        <v>3622.3089670548088</v>
      </c>
      <c r="X7" s="93">
        <f>MIN(Cockpit!$F$17-W7,Y6)</f>
        <v>2819.3590388472685</v>
      </c>
      <c r="Y7" s="93">
        <f t="shared" ref="Y7:Y40" si="11">Y6-X7</f>
        <v>144428.97295525065</v>
      </c>
      <c r="Z7" s="93">
        <f>AB6*Cockpit!$F$21</f>
        <v>10799.296289351627</v>
      </c>
      <c r="AA7" s="93">
        <f>MIN(Cockpit!$F$23-Z7,AB6)</f>
        <v>3864.7364768577281</v>
      </c>
      <c r="AB7" s="93">
        <f t="shared" ref="AB7:AB40" si="12">AB6-AA7</f>
        <v>266117.67075693293</v>
      </c>
      <c r="AC7" s="89">
        <f>IF(A7&gt;Cockpit!$L$21,0,K7)</f>
        <v>12111.171983422257</v>
      </c>
    </row>
    <row r="8" spans="1:29" ht="18" customHeight="1" x14ac:dyDescent="0.3">
      <c r="A8" s="88">
        <v>3</v>
      </c>
      <c r="B8" s="90">
        <f>Cockpit!$I$17*(1+Cockpit!$I$18)^(A8-1)</f>
        <v>19342.426500000001</v>
      </c>
      <c r="C8" s="90">
        <f>IF(Cockpit!$C$33="Ja",Cockpit!$I$22,0)</f>
        <v>561.6</v>
      </c>
      <c r="D8" s="90">
        <f>(Cockpit!$I$25*Cockpit!$I$9+IF(A8&lt;=15,Cockpit!$I$26,IF(A8&lt;=30,Cockpit!$I$27,Cockpit!$I$28))*Cockpit!$I$10+Cockpit!$I$29)*(1+Cockpit!$I$31)^(A8-1)+Cockpit!$I$30*B8</f>
        <v>1338.71478</v>
      </c>
      <c r="E8" s="90">
        <f t="shared" si="0"/>
        <v>14197.659564976482</v>
      </c>
      <c r="F8" s="90">
        <f t="shared" si="1"/>
        <v>6908.0412071349492</v>
      </c>
      <c r="G8" s="90">
        <f t="shared" si="6"/>
        <v>-2540.3890521114299</v>
      </c>
      <c r="H8" s="90">
        <f t="shared" si="2"/>
        <v>36342.598249999995</v>
      </c>
      <c r="I8" s="90">
        <f t="shared" si="3"/>
        <v>-32536.546094976475</v>
      </c>
      <c r="J8" s="90">
        <f>I8*Cockpit!$F$33</f>
        <v>-14416.943574684074</v>
      </c>
      <c r="K8" s="90">
        <f t="shared" si="4"/>
        <v>11876.554522572644</v>
      </c>
      <c r="L8" s="90">
        <f t="shared" si="7"/>
        <v>36356.10433268347</v>
      </c>
      <c r="M8" s="90">
        <f t="shared" si="5"/>
        <v>403638.60250504862</v>
      </c>
      <c r="N8" s="90">
        <f>MIN(Cockpit!$L$22*(1+Cockpit!$L$23)^A8,Cockpit!$L$26*B8)+Cockpit!$C$36*MAX(0,1-A8/40)</f>
        <v>438131.88300000003</v>
      </c>
      <c r="O8" s="89">
        <f t="shared" si="8"/>
        <v>105645.23324999999</v>
      </c>
      <c r="P8" s="89">
        <f t="shared" si="9"/>
        <v>6000</v>
      </c>
      <c r="Q8" s="89">
        <f>IF(A8&gt;Cockpit!$L$21,0,IF(A8=Cockpit!$L$21,K8+Cockpit!$L$33,K8))</f>
        <v>11876.554522572644</v>
      </c>
      <c r="R8" s="89">
        <f>IF(AND(A8&lt;=Cockpit!$F$42,Cockpit!$F$40="Ja"),Cockpit!$F$41*Cockpit!$F$44,0)</f>
        <v>18051.3</v>
      </c>
      <c r="S8" s="93">
        <f>IF(Cockpit!$F$36="degressiv",MAX(0,MIN(0.05*(Cockpit!$F$37-O7+IF(A8&lt;=Cockpit!$F$42,(A8-1)*R8,0)),Cockpit!$F$37-O7-R8)),IF(OR(Cockpit!$F$40&lt;&gt;"Ja",Cockpit!$F$42&lt;=0,A8&lt;=Cockpit!$F$42),MIN(0.03*Cockpit!$F$37,MAX(0,Cockpit!$F$37-O7-R8)),MIN((Cockpit!$F$37-Cockpit!$F$42*(0.03*Cockpit!$F$37+Cockpit!$F$41*Cockpit!$F$44))/MAX(1,ROUNDDOWN(1/0.03,0)-Cockpit!$F$42),MAX(0,Cockpit!$F$37-O7-R8))))</f>
        <v>16291.29825</v>
      </c>
      <c r="T8" s="89">
        <f>MIN(Cockpit!$F$45*Cockpit!$C$28,MAX(0,Cockpit!$C$28-P7))</f>
        <v>2000</v>
      </c>
      <c r="U8" s="93">
        <f>IF(Cockpit!$F$46&gt;0,MIN(Cockpit!$C$24*Cockpit!$F$46,MAX(0,Cockpit!$C$24-V7)),0)</f>
        <v>0</v>
      </c>
      <c r="V8" s="89">
        <f t="shared" si="10"/>
        <v>0</v>
      </c>
      <c r="W8" s="89">
        <f>Y7*Cockpit!$F$15</f>
        <v>3552.9527346991658</v>
      </c>
      <c r="X8" s="89">
        <f>MIN(Cockpit!$F$17-W8,Y7)</f>
        <v>2888.7152712029115</v>
      </c>
      <c r="Y8" s="89">
        <f t="shared" si="11"/>
        <v>141540.25768404774</v>
      </c>
      <c r="Z8" s="89">
        <f>AB7*Cockpit!$F$21</f>
        <v>10644.706830277317</v>
      </c>
      <c r="AA8" s="89">
        <f>MIN(Cockpit!$F$23-Z8,AB7)</f>
        <v>4019.3259359320382</v>
      </c>
      <c r="AB8" s="89">
        <f t="shared" si="12"/>
        <v>262098.34482100088</v>
      </c>
      <c r="AC8" s="89">
        <f>IF(A8&gt;Cockpit!$L$21,0,K8)</f>
        <v>11876.554522572644</v>
      </c>
    </row>
    <row r="9" spans="1:29" ht="18" customHeight="1" x14ac:dyDescent="0.3">
      <c r="A9" s="91">
        <v>4</v>
      </c>
      <c r="B9" s="92">
        <f>Cockpit!$I$17*(1+Cockpit!$I$18)^(A9-1)</f>
        <v>19825.987162499998</v>
      </c>
      <c r="C9" s="90">
        <f>IF(Cockpit!$C$33="Ja",Cockpit!$I$22,0)</f>
        <v>561.6</v>
      </c>
      <c r="D9" s="90">
        <f>(Cockpit!$I$25*Cockpit!$I$9+IF(A9&lt;=15,Cockpit!$I$26,IF(A9&lt;=30,Cockpit!$I$27,Cockpit!$I$28))*Cockpit!$I$10+Cockpit!$I$29)*(1+Cockpit!$I$31)^(A9-1)+Cockpit!$I$30*B9</f>
        <v>1372.1826494999998</v>
      </c>
      <c r="E9" s="92">
        <f t="shared" si="0"/>
        <v>13965.824131867608</v>
      </c>
      <c r="F9" s="92">
        <f t="shared" si="1"/>
        <v>7139.8766402438232</v>
      </c>
      <c r="G9" s="90">
        <f t="shared" si="6"/>
        <v>-2090.2962591114338</v>
      </c>
      <c r="H9" s="92">
        <f t="shared" si="2"/>
        <v>35528.033337499997</v>
      </c>
      <c r="I9" s="92">
        <f t="shared" si="3"/>
        <v>-31040.052956367606</v>
      </c>
      <c r="J9" s="92">
        <f>I9*Cockpit!$F$33</f>
        <v>-13753.847464966484</v>
      </c>
      <c r="K9" s="92">
        <f t="shared" si="4"/>
        <v>11663.55120585505</v>
      </c>
      <c r="L9" s="92">
        <f t="shared" si="7"/>
        <v>48019.655538538522</v>
      </c>
      <c r="M9" s="92">
        <f t="shared" si="5"/>
        <v>396498.72586480482</v>
      </c>
      <c r="N9" s="90">
        <f>MIN(Cockpit!$L$22*(1+Cockpit!$L$23)^A9,Cockpit!$L$26*B9)+Cockpit!$C$36*MAX(0,1-A9/40)</f>
        <v>448429.71757499996</v>
      </c>
      <c r="O9" s="93">
        <f t="shared" si="8"/>
        <v>139173.26658749999</v>
      </c>
      <c r="P9" s="93">
        <f t="shared" si="9"/>
        <v>8000</v>
      </c>
      <c r="Q9" s="89">
        <f>IF(A9&gt;Cockpit!$L$21,0,IF(A9=Cockpit!$L$21,K9+Cockpit!$L$33,K9))</f>
        <v>11663.55120585505</v>
      </c>
      <c r="R9" s="93">
        <f>IF(AND(A9&lt;=Cockpit!$F$42,Cockpit!$F$40="Ja"),Cockpit!$F$41*Cockpit!$F$44,0)</f>
        <v>18051.3</v>
      </c>
      <c r="S9" s="93">
        <f>IF(Cockpit!$F$36="degressiv",MAX(0,MIN(0.05*(Cockpit!$F$37-O8+IF(A9&lt;=Cockpit!$F$42,(A9-1)*R9,0)),Cockpit!$F$37-O8-R9)),IF(OR(Cockpit!$F$40&lt;&gt;"Ja",Cockpit!$F$42&lt;=0,A9&lt;=Cockpit!$F$42),MIN(0.03*Cockpit!$F$37,MAX(0,Cockpit!$F$37-O8-R9)),MIN((Cockpit!$F$37-Cockpit!$F$42*(0.03*Cockpit!$F$37+Cockpit!$F$41*Cockpit!$F$44))/MAX(1,ROUNDDOWN(1/0.03,0)-Cockpit!$F$42),MAX(0,Cockpit!$F$37-O8-R9))))</f>
        <v>15476.7333375</v>
      </c>
      <c r="T9" s="93">
        <f>MIN(Cockpit!$F$45*Cockpit!$C$28,MAX(0,Cockpit!$C$28-P8))</f>
        <v>2000</v>
      </c>
      <c r="U9" s="93">
        <f>IF(Cockpit!$F$46&gt;0,MIN(Cockpit!$C$24*Cockpit!$F$46,MAX(0,Cockpit!$C$24-V8)),0)</f>
        <v>0</v>
      </c>
      <c r="V9" s="93">
        <f t="shared" si="10"/>
        <v>0</v>
      </c>
      <c r="W9" s="93">
        <f>Y8*Cockpit!$F$15</f>
        <v>3481.8903390275746</v>
      </c>
      <c r="X9" s="93">
        <f>MIN(Cockpit!$F$17-W9,Y8)</f>
        <v>2959.7776668745028</v>
      </c>
      <c r="Y9" s="93">
        <f t="shared" si="11"/>
        <v>138580.48001717325</v>
      </c>
      <c r="Z9" s="93">
        <f>AB8*Cockpit!$F$21</f>
        <v>10483.933792840035</v>
      </c>
      <c r="AA9" s="93">
        <f>MIN(Cockpit!$F$23-Z9,AB8)</f>
        <v>4180.0989733693204</v>
      </c>
      <c r="AB9" s="93">
        <f t="shared" si="12"/>
        <v>257918.24584763157</v>
      </c>
      <c r="AC9" s="89">
        <f>IF(A9&gt;Cockpit!$L$21,0,K9)</f>
        <v>11663.55120585505</v>
      </c>
    </row>
    <row r="10" spans="1:29" ht="18" customHeight="1" x14ac:dyDescent="0.3">
      <c r="A10" s="88">
        <v>5</v>
      </c>
      <c r="B10" s="90">
        <f>Cockpit!$I$17*(1+Cockpit!$I$18)^(A10-1)</f>
        <v>20321.636841562497</v>
      </c>
      <c r="C10" s="90">
        <f>IF(Cockpit!$C$33="Ja",Cockpit!$I$22,0)</f>
        <v>561.6</v>
      </c>
      <c r="D10" s="90">
        <f>(Cockpit!$I$25*Cockpit!$I$9+IF(A10&lt;=15,Cockpit!$I$26,IF(A10&lt;=30,Cockpit!$I$27,Cockpit!$I$28))*Cockpit!$I$10+Cockpit!$I$29)*(1+Cockpit!$I$31)^(A10-1)+Cockpit!$I$30*B10</f>
        <v>1406.4872157374998</v>
      </c>
      <c r="E10" s="90">
        <f t="shared" si="0"/>
        <v>13725.809642327726</v>
      </c>
      <c r="F10" s="90">
        <f t="shared" si="1"/>
        <v>7379.8911297837076</v>
      </c>
      <c r="G10" s="90">
        <f t="shared" si="6"/>
        <v>-1628.9511462864375</v>
      </c>
      <c r="H10" s="90">
        <f t="shared" si="2"/>
        <v>13092.636670625001</v>
      </c>
      <c r="I10" s="90">
        <f t="shared" si="3"/>
        <v>-7903.2966871277295</v>
      </c>
      <c r="J10" s="90">
        <f>I10*Cockpit!$F$33</f>
        <v>-3501.9507620662966</v>
      </c>
      <c r="K10" s="90">
        <f t="shared" si="4"/>
        <v>1872.9996157798591</v>
      </c>
      <c r="L10" s="90">
        <f t="shared" si="7"/>
        <v>49892.655154318381</v>
      </c>
      <c r="M10" s="90">
        <f t="shared" si="5"/>
        <v>389118.83473502111</v>
      </c>
      <c r="N10" s="90">
        <f>MIN(Cockpit!$L$22*(1+Cockpit!$L$23)^A10,Cockpit!$L$26*B10)+Cockpit!$C$36*MAX(0,1-A10/40)</f>
        <v>458993.51051437494</v>
      </c>
      <c r="O10" s="89">
        <f t="shared" si="8"/>
        <v>150265.90325812501</v>
      </c>
      <c r="P10" s="89">
        <f t="shared" si="9"/>
        <v>10000</v>
      </c>
      <c r="Q10" s="89">
        <f>IF(A10&gt;Cockpit!$L$21,0,IF(A10=Cockpit!$L$21,K10+Cockpit!$L$33,K10))</f>
        <v>1872.9996157798591</v>
      </c>
      <c r="R10" s="89">
        <f>IF(AND(A10&lt;=Cockpit!$F$42,Cockpit!$F$40="Ja"),Cockpit!$F$41*Cockpit!$F$44,0)</f>
        <v>0</v>
      </c>
      <c r="S10" s="93">
        <f>IF(Cockpit!$F$36="degressiv",MAX(0,MIN(0.05*(Cockpit!$F$37-O9+IF(A10&lt;=Cockpit!$F$42,(A10-1)*R10,0)),Cockpit!$F$37-O9-R10)),IF(OR(Cockpit!$F$40&lt;&gt;"Ja",Cockpit!$F$42&lt;=0,A10&lt;=Cockpit!$F$42),MIN(0.03*Cockpit!$F$37,MAX(0,Cockpit!$F$37-O9-R10)),MIN((Cockpit!$F$37-Cockpit!$F$42*(0.03*Cockpit!$F$37+Cockpit!$F$41*Cockpit!$F$44))/MAX(1,ROUNDDOWN(1/0.03,0)-Cockpit!$F$42),MAX(0,Cockpit!$F$37-O9-R10))))</f>
        <v>11092.636670625001</v>
      </c>
      <c r="T10" s="89">
        <f>MIN(Cockpit!$F$45*Cockpit!$C$28,MAX(0,Cockpit!$C$28-P9))</f>
        <v>2000</v>
      </c>
      <c r="U10" s="93">
        <f>IF(Cockpit!$F$46&gt;0,MIN(Cockpit!$C$24*Cockpit!$F$46,MAX(0,Cockpit!$C$24-V9)),0)</f>
        <v>0</v>
      </c>
      <c r="V10" s="89">
        <f t="shared" si="10"/>
        <v>0</v>
      </c>
      <c r="W10" s="89">
        <f>Y9*Cockpit!$F$15</f>
        <v>3409.0798084224621</v>
      </c>
      <c r="X10" s="89">
        <f>MIN(Cockpit!$F$17-W10,Y9)</f>
        <v>3032.5881974796152</v>
      </c>
      <c r="Y10" s="89">
        <f t="shared" si="11"/>
        <v>135547.89181969364</v>
      </c>
      <c r="Z10" s="89">
        <f>AB9*Cockpit!$F$21</f>
        <v>10316.729833905263</v>
      </c>
      <c r="AA10" s="89">
        <f>MIN(Cockpit!$F$23-Z10,AB9)</f>
        <v>4347.3029323040919</v>
      </c>
      <c r="AB10" s="89">
        <f t="shared" si="12"/>
        <v>253570.94291532747</v>
      </c>
      <c r="AC10" s="89">
        <f>IF(A10&gt;Cockpit!$L$21,0,K10)</f>
        <v>1872.9996157798591</v>
      </c>
    </row>
    <row r="11" spans="1:29" ht="18" customHeight="1" x14ac:dyDescent="0.3">
      <c r="A11" s="91">
        <v>6</v>
      </c>
      <c r="B11" s="92">
        <f>Cockpit!$I$17*(1+Cockpit!$I$18)^(A11-1)</f>
        <v>20829.677762601557</v>
      </c>
      <c r="C11" s="90">
        <f>IF(Cockpit!$C$33="Ja",Cockpit!$I$22,0)</f>
        <v>561.6</v>
      </c>
      <c r="D11" s="90">
        <f>(Cockpit!$I$25*Cockpit!$I$9+IF(A11&lt;=15,Cockpit!$I$26,IF(A11&lt;=30,Cockpit!$I$27,Cockpit!$I$28))*Cockpit!$I$10+Cockpit!$I$29)*(1+Cockpit!$I$31)^(A11-1)+Cockpit!$I$30*B11</f>
        <v>1441.649396130937</v>
      </c>
      <c r="E11" s="92">
        <f t="shared" si="0"/>
        <v>13477.315855377563</v>
      </c>
      <c r="F11" s="92">
        <f t="shared" si="1"/>
        <v>7628.3849167338694</v>
      </c>
      <c r="G11" s="90">
        <f t="shared" si="6"/>
        <v>-1156.0724056408117</v>
      </c>
      <c r="H11" s="92">
        <f t="shared" si="2"/>
        <v>12538.004837093751</v>
      </c>
      <c r="I11" s="92">
        <f t="shared" si="3"/>
        <v>-6627.2923260006919</v>
      </c>
      <c r="J11" s="92">
        <f>I11*Cockpit!$F$33</f>
        <v>-2936.5532296509064</v>
      </c>
      <c r="K11" s="92">
        <f t="shared" si="4"/>
        <v>1780.4808240100947</v>
      </c>
      <c r="L11" s="92">
        <f t="shared" si="7"/>
        <v>51673.135978328479</v>
      </c>
      <c r="M11" s="92">
        <f t="shared" si="5"/>
        <v>381490.44981828728</v>
      </c>
      <c r="N11" s="90">
        <f>MIN(Cockpit!$L$22*(1+Cockpit!$L$23)^A11,Cockpit!$L$26*B11)+Cockpit!$C$36*MAX(0,1-A11/40)</f>
        <v>469829.91077723424</v>
      </c>
      <c r="O11" s="93">
        <f t="shared" si="8"/>
        <v>160803.90809521877</v>
      </c>
      <c r="P11" s="93">
        <f t="shared" si="9"/>
        <v>12000</v>
      </c>
      <c r="Q11" s="89">
        <f>IF(A11&gt;Cockpit!$L$21,0,IF(A11=Cockpit!$L$21,K11+Cockpit!$L$33,K11))</f>
        <v>1780.4808240100947</v>
      </c>
      <c r="R11" s="93">
        <f>IF(AND(A11&lt;=Cockpit!$F$42,Cockpit!$F$40="Ja"),Cockpit!$F$41*Cockpit!$F$44,0)</f>
        <v>0</v>
      </c>
      <c r="S11" s="93">
        <f>IF(Cockpit!$F$36="degressiv",MAX(0,MIN(0.05*(Cockpit!$F$37-O10+IF(A11&lt;=Cockpit!$F$42,(A11-1)*R11,0)),Cockpit!$F$37-O10-R11)),IF(OR(Cockpit!$F$40&lt;&gt;"Ja",Cockpit!$F$42&lt;=0,A11&lt;=Cockpit!$F$42),MIN(0.03*Cockpit!$F$37,MAX(0,Cockpit!$F$37-O10-R11)),MIN((Cockpit!$F$37-Cockpit!$F$42*(0.03*Cockpit!$F$37+Cockpit!$F$41*Cockpit!$F$44))/MAX(1,ROUNDDOWN(1/0.03,0)-Cockpit!$F$42),MAX(0,Cockpit!$F$37-O10-R11))))</f>
        <v>10538.004837093751</v>
      </c>
      <c r="T11" s="93">
        <f>MIN(Cockpit!$F$45*Cockpit!$C$28,MAX(0,Cockpit!$C$28-P10))</f>
        <v>2000</v>
      </c>
      <c r="U11" s="93">
        <f>IF(Cockpit!$F$46&gt;0,MIN(Cockpit!$C$24*Cockpit!$F$46,MAX(0,Cockpit!$C$24-V10)),0)</f>
        <v>0</v>
      </c>
      <c r="V11" s="93">
        <f t="shared" si="10"/>
        <v>0</v>
      </c>
      <c r="W11" s="93">
        <f>Y10*Cockpit!$F$15</f>
        <v>3334.4781387644634</v>
      </c>
      <c r="X11" s="93">
        <f>MIN(Cockpit!$F$17-W11,Y10)</f>
        <v>3107.1898671376139</v>
      </c>
      <c r="Y11" s="93">
        <f t="shared" si="11"/>
        <v>132440.70195255603</v>
      </c>
      <c r="Z11" s="93">
        <f>AB10*Cockpit!$F$21</f>
        <v>10142.837716613099</v>
      </c>
      <c r="AA11" s="93">
        <f>MIN(Cockpit!$F$23-Z11,AB10)</f>
        <v>4521.1950495962556</v>
      </c>
      <c r="AB11" s="93">
        <f t="shared" si="12"/>
        <v>249049.74786573122</v>
      </c>
      <c r="AC11" s="89">
        <f>IF(A11&gt;Cockpit!$L$21,0,K11)</f>
        <v>1780.4808240100947</v>
      </c>
    </row>
    <row r="12" spans="1:29" ht="18" customHeight="1" x14ac:dyDescent="0.3">
      <c r="A12" s="88">
        <v>7</v>
      </c>
      <c r="B12" s="90">
        <f>Cockpit!$I$17*(1+Cockpit!$I$18)^(A12-1)</f>
        <v>21350.419706666595</v>
      </c>
      <c r="C12" s="90">
        <f>IF(Cockpit!$C$33="Ja",Cockpit!$I$22,0)</f>
        <v>561.6</v>
      </c>
      <c r="D12" s="90">
        <f>(Cockpit!$I$25*Cockpit!$I$9+IF(A12&lt;=15,Cockpit!$I$26,IF(A12&lt;=30,Cockpit!$I$27,Cockpit!$I$28))*Cockpit!$I$10+Cockpit!$I$29)*(1+Cockpit!$I$31)^(A12-1)+Cockpit!$I$30*B12</f>
        <v>1477.6906310342104</v>
      </c>
      <c r="E12" s="90">
        <f t="shared" si="0"/>
        <v>13220.031182662127</v>
      </c>
      <c r="F12" s="90">
        <f t="shared" si="1"/>
        <v>7885.6695894493059</v>
      </c>
      <c r="G12" s="90">
        <f t="shared" si="6"/>
        <v>-671.37169647904921</v>
      </c>
      <c r="H12" s="90">
        <f t="shared" si="2"/>
        <v>12011.104595239063</v>
      </c>
      <c r="I12" s="90">
        <f t="shared" si="3"/>
        <v>-5358.406702268805</v>
      </c>
      <c r="J12" s="90">
        <f>I12*Cockpit!$F$33</f>
        <v>-2374.3100097753072</v>
      </c>
      <c r="K12" s="90">
        <f t="shared" si="4"/>
        <v>1702.938313296258</v>
      </c>
      <c r="L12" s="90">
        <f t="shared" si="7"/>
        <v>53376.07429162474</v>
      </c>
      <c r="M12" s="90">
        <f t="shared" si="5"/>
        <v>373604.78022883798</v>
      </c>
      <c r="N12" s="90">
        <f>MIN(Cockpit!$L$22*(1+Cockpit!$L$23)^A12,Cockpit!$L$26*B12)+Cockpit!$C$36*MAX(0,1-A12/40)</f>
        <v>480945.73354666505</v>
      </c>
      <c r="O12" s="89">
        <f t="shared" si="8"/>
        <v>170815.01269045784</v>
      </c>
      <c r="P12" s="89">
        <f t="shared" si="9"/>
        <v>14000</v>
      </c>
      <c r="Q12" s="89">
        <f>IF(A12&gt;Cockpit!$L$21,0,IF(A12=Cockpit!$L$21,K12+Cockpit!$L$33,K12))</f>
        <v>1702.938313296258</v>
      </c>
      <c r="R12" s="89">
        <f>IF(AND(A12&lt;=Cockpit!$F$42,Cockpit!$F$40="Ja"),Cockpit!$F$41*Cockpit!$F$44,0)</f>
        <v>0</v>
      </c>
      <c r="S12" s="93">
        <f>IF(Cockpit!$F$36="degressiv",MAX(0,MIN(0.05*(Cockpit!$F$37-O11+IF(A12&lt;=Cockpit!$F$42,(A12-1)*R12,0)),Cockpit!$F$37-O11-R12)),IF(OR(Cockpit!$F$40&lt;&gt;"Ja",Cockpit!$F$42&lt;=0,A12&lt;=Cockpit!$F$42),MIN(0.03*Cockpit!$F$37,MAX(0,Cockpit!$F$37-O11-R12)),MIN((Cockpit!$F$37-Cockpit!$F$42*(0.03*Cockpit!$F$37+Cockpit!$F$41*Cockpit!$F$44))/MAX(1,ROUNDDOWN(1/0.03,0)-Cockpit!$F$42),MAX(0,Cockpit!$F$37-O11-R12))))</f>
        <v>10011.104595239063</v>
      </c>
      <c r="T12" s="89">
        <f>MIN(Cockpit!$F$45*Cockpit!$C$28,MAX(0,Cockpit!$C$28-P11))</f>
        <v>2000</v>
      </c>
      <c r="U12" s="93">
        <f>IF(Cockpit!$F$46&gt;0,MIN(Cockpit!$C$24*Cockpit!$F$46,MAX(0,Cockpit!$C$24-V11)),0)</f>
        <v>0</v>
      </c>
      <c r="V12" s="89">
        <f t="shared" si="10"/>
        <v>0</v>
      </c>
      <c r="W12" s="89">
        <f>Y11*Cockpit!$F$15</f>
        <v>3258.0412680328786</v>
      </c>
      <c r="X12" s="89">
        <f>MIN(Cockpit!$F$17-W12,Y11)</f>
        <v>3183.6267378691987</v>
      </c>
      <c r="Y12" s="89">
        <f t="shared" si="11"/>
        <v>129257.07521468683</v>
      </c>
      <c r="Z12" s="89">
        <f>AB11*Cockpit!$F$21</f>
        <v>9961.9899146292482</v>
      </c>
      <c r="AA12" s="89">
        <f>MIN(Cockpit!$F$23-Z12,AB11)</f>
        <v>4702.0428515801068</v>
      </c>
      <c r="AB12" s="89">
        <f t="shared" si="12"/>
        <v>244347.70501415111</v>
      </c>
      <c r="AC12" s="89">
        <f>IF(A12&gt;Cockpit!$L$21,0,K12)</f>
        <v>1702.938313296258</v>
      </c>
    </row>
    <row r="13" spans="1:29" ht="18" customHeight="1" x14ac:dyDescent="0.3">
      <c r="A13" s="91">
        <v>8</v>
      </c>
      <c r="B13" s="92">
        <f>Cockpit!$I$17*(1+Cockpit!$I$18)^(A13-1)</f>
        <v>21884.180199333263</v>
      </c>
      <c r="C13" s="90">
        <f>IF(Cockpit!$C$33="Ja",Cockpit!$I$22,0)</f>
        <v>561.6</v>
      </c>
      <c r="D13" s="90">
        <f>(Cockpit!$I$25*Cockpit!$I$9+IF(A13&lt;=15,Cockpit!$I$26,IF(A13&lt;=30,Cockpit!$I$27,Cockpit!$I$28))*Cockpit!$I$10+Cockpit!$I$29)*(1+Cockpit!$I$31)^(A13-1)+Cockpit!$I$30*B13</f>
        <v>1514.6328968100659</v>
      </c>
      <c r="E13" s="92">
        <f t="shared" si="0"/>
        <v>12953.63225084734</v>
      </c>
      <c r="F13" s="92">
        <f t="shared" si="1"/>
        <v>8152.0685212640929</v>
      </c>
      <c r="G13" s="90">
        <f t="shared" si="6"/>
        <v>-174.55346958823611</v>
      </c>
      <c r="H13" s="92">
        <f t="shared" si="2"/>
        <v>11510.549365477109</v>
      </c>
      <c r="I13" s="92">
        <f t="shared" si="3"/>
        <v>-4094.6343138012508</v>
      </c>
      <c r="J13" s="92">
        <f>I13*Cockpit!$F$33</f>
        <v>-1814.3324644453339</v>
      </c>
      <c r="K13" s="92">
        <f t="shared" si="4"/>
        <v>1639.7789948570978</v>
      </c>
      <c r="L13" s="92">
        <f t="shared" si="7"/>
        <v>55015.853286481841</v>
      </c>
      <c r="M13" s="92">
        <f t="shared" si="5"/>
        <v>365452.71170757385</v>
      </c>
      <c r="N13" s="90">
        <f>MIN(Cockpit!$L$22*(1+Cockpit!$L$23)^A13,Cockpit!$L$26*B13)+Cockpit!$C$36*MAX(0,1-A13/40)</f>
        <v>492347.96438533178</v>
      </c>
      <c r="O13" s="93">
        <f t="shared" si="8"/>
        <v>180325.56205593495</v>
      </c>
      <c r="P13" s="93">
        <f t="shared" si="9"/>
        <v>16000</v>
      </c>
      <c r="Q13" s="89">
        <f>IF(A13&gt;Cockpit!$L$21,0,IF(A13=Cockpit!$L$21,K13+Cockpit!$L$33,K13))</f>
        <v>1639.7789948570978</v>
      </c>
      <c r="R13" s="93">
        <f>IF(AND(A13&lt;=Cockpit!$F$42,Cockpit!$F$40="Ja"),Cockpit!$F$41*Cockpit!$F$44,0)</f>
        <v>0</v>
      </c>
      <c r="S13" s="93">
        <f>IF(Cockpit!$F$36="degressiv",MAX(0,MIN(0.05*(Cockpit!$F$37-O12+IF(A13&lt;=Cockpit!$F$42,(A13-1)*R13,0)),Cockpit!$F$37-O12-R13)),IF(OR(Cockpit!$F$40&lt;&gt;"Ja",Cockpit!$F$42&lt;=0,A13&lt;=Cockpit!$F$42),MIN(0.03*Cockpit!$F$37,MAX(0,Cockpit!$F$37-O12-R13)),MIN((Cockpit!$F$37-Cockpit!$F$42*(0.03*Cockpit!$F$37+Cockpit!$F$41*Cockpit!$F$44))/MAX(1,ROUNDDOWN(1/0.03,0)-Cockpit!$F$42),MAX(0,Cockpit!$F$37-O12-R13))))</f>
        <v>9510.5493654771089</v>
      </c>
      <c r="T13" s="93">
        <f>MIN(Cockpit!$F$45*Cockpit!$C$28,MAX(0,Cockpit!$C$28-P12))</f>
        <v>2000</v>
      </c>
      <c r="U13" s="93">
        <f>IF(Cockpit!$F$46&gt;0,MIN(Cockpit!$C$24*Cockpit!$F$46,MAX(0,Cockpit!$C$24-V12)),0)</f>
        <v>0</v>
      </c>
      <c r="V13" s="93">
        <f t="shared" si="10"/>
        <v>0</v>
      </c>
      <c r="W13" s="93">
        <f>Y12*Cockpit!$F$15</f>
        <v>3179.7240502812961</v>
      </c>
      <c r="X13" s="93">
        <f>MIN(Cockpit!$F$17-W13,Y12)</f>
        <v>3261.9439556207813</v>
      </c>
      <c r="Y13" s="93">
        <f t="shared" si="11"/>
        <v>125995.13125906605</v>
      </c>
      <c r="Z13" s="93">
        <f>AB12*Cockpit!$F$21</f>
        <v>9773.9082005660439</v>
      </c>
      <c r="AA13" s="93">
        <f>MIN(Cockpit!$F$23-Z13,AB12)</f>
        <v>4890.1245656433111</v>
      </c>
      <c r="AB13" s="93">
        <f t="shared" si="12"/>
        <v>239457.5804485078</v>
      </c>
      <c r="AC13" s="89">
        <f>IF(A13&gt;Cockpit!$L$21,0,K13)</f>
        <v>1639.7789948570978</v>
      </c>
    </row>
    <row r="14" spans="1:29" ht="18" customHeight="1" x14ac:dyDescent="0.3">
      <c r="A14" s="88">
        <v>9</v>
      </c>
      <c r="B14" s="90">
        <f>Cockpit!$I$17*(1+Cockpit!$I$18)^(A14-1)</f>
        <v>22431.284704316589</v>
      </c>
      <c r="C14" s="90">
        <f>IF(Cockpit!$C$33="Ja",Cockpit!$I$22,0)</f>
        <v>561.6</v>
      </c>
      <c r="D14" s="90">
        <f>(Cockpit!$I$25*Cockpit!$I$9+IF(A14&lt;=15,Cockpit!$I$26,IF(A14&lt;=30,Cockpit!$I$27,Cockpit!$I$28))*Cockpit!$I$10+Cockpit!$I$29)*(1+Cockpit!$I$31)^(A14-1)+Cockpit!$I$30*B14</f>
        <v>1552.4987192303172</v>
      </c>
      <c r="E14" s="90">
        <f t="shared" si="0"/>
        <v>12677.783446913338</v>
      </c>
      <c r="F14" s="90">
        <f t="shared" si="1"/>
        <v>8427.9173251980937</v>
      </c>
      <c r="G14" s="90">
        <f t="shared" si="6"/>
        <v>334.6852129748404</v>
      </c>
      <c r="H14" s="90">
        <f t="shared" si="2"/>
        <v>11035.021897203253</v>
      </c>
      <c r="I14" s="90">
        <f t="shared" si="3"/>
        <v>-2834.019359030317</v>
      </c>
      <c r="J14" s="90">
        <f>I14*Cockpit!$F$33</f>
        <v>-1255.7539779863332</v>
      </c>
      <c r="K14" s="90">
        <f t="shared" si="4"/>
        <v>1590.4391909611736</v>
      </c>
      <c r="L14" s="90">
        <f t="shared" si="7"/>
        <v>56606.292477443014</v>
      </c>
      <c r="M14" s="90">
        <f t="shared" si="5"/>
        <v>357024.79438237578</v>
      </c>
      <c r="N14" s="90">
        <f>MIN(Cockpit!$L$22*(1+Cockpit!$L$23)^A14,Cockpit!$L$26*B14)+Cockpit!$C$36*MAX(0,1-A14/40)</f>
        <v>504043.76349496498</v>
      </c>
      <c r="O14" s="89">
        <f t="shared" si="8"/>
        <v>189360.58395313821</v>
      </c>
      <c r="P14" s="89">
        <f t="shared" si="9"/>
        <v>18000</v>
      </c>
      <c r="Q14" s="89">
        <f>IF(A14&gt;Cockpit!$L$21,0,IF(A14=Cockpit!$L$21,K14+Cockpit!$L$33,K14))</f>
        <v>1590.4391909611736</v>
      </c>
      <c r="R14" s="89">
        <f>IF(AND(A14&lt;=Cockpit!$F$42,Cockpit!$F$40="Ja"),Cockpit!$F$41*Cockpit!$F$44,0)</f>
        <v>0</v>
      </c>
      <c r="S14" s="93">
        <f>IF(Cockpit!$F$36="degressiv",MAX(0,MIN(0.05*(Cockpit!$F$37-O13+IF(A14&lt;=Cockpit!$F$42,(A14-1)*R14,0)),Cockpit!$F$37-O13-R14)),IF(OR(Cockpit!$F$40&lt;&gt;"Ja",Cockpit!$F$42&lt;=0,A14&lt;=Cockpit!$F$42),MIN(0.03*Cockpit!$F$37,MAX(0,Cockpit!$F$37-O13-R14)),MIN((Cockpit!$F$37-Cockpit!$F$42*(0.03*Cockpit!$F$37+Cockpit!$F$41*Cockpit!$F$44))/MAX(1,ROUNDDOWN(1/0.03,0)-Cockpit!$F$42),MAX(0,Cockpit!$F$37-O13-R14))))</f>
        <v>9035.0218972032526</v>
      </c>
      <c r="T14" s="89">
        <f>MIN(Cockpit!$F$45*Cockpit!$C$28,MAX(0,Cockpit!$C$28-P13))</f>
        <v>2000</v>
      </c>
      <c r="U14" s="93">
        <f>IF(Cockpit!$F$46&gt;0,MIN(Cockpit!$C$24*Cockpit!$F$46,MAX(0,Cockpit!$C$24-V13)),0)</f>
        <v>0</v>
      </c>
      <c r="V14" s="89">
        <f t="shared" si="10"/>
        <v>0</v>
      </c>
      <c r="W14" s="89">
        <f>Y13*Cockpit!$F$15</f>
        <v>3099.4802289730251</v>
      </c>
      <c r="X14" s="89">
        <f>MIN(Cockpit!$F$17-W14,Y13)</f>
        <v>3342.1877769290522</v>
      </c>
      <c r="Y14" s="89">
        <f t="shared" si="11"/>
        <v>122652.94348213699</v>
      </c>
      <c r="Z14" s="89">
        <f>AB13*Cockpit!$F$21</f>
        <v>9578.3032179403126</v>
      </c>
      <c r="AA14" s="89">
        <f>MIN(Cockpit!$F$23-Z14,AB13)</f>
        <v>5085.7295482690424</v>
      </c>
      <c r="AB14" s="89">
        <f t="shared" si="12"/>
        <v>234371.85090023876</v>
      </c>
      <c r="AC14" s="89">
        <f>IF(A14&gt;Cockpit!$L$21,0,K14)</f>
        <v>1590.4391909611736</v>
      </c>
    </row>
    <row r="15" spans="1:29" ht="18" customHeight="1" x14ac:dyDescent="0.3">
      <c r="A15" s="91">
        <v>10</v>
      </c>
      <c r="B15" s="92">
        <f>Cockpit!$I$17*(1+Cockpit!$I$18)^(A15-1)</f>
        <v>22992.066821924502</v>
      </c>
      <c r="C15" s="90">
        <f>IF(Cockpit!$C$33="Ja",Cockpit!$I$22,0)</f>
        <v>561.6</v>
      </c>
      <c r="D15" s="90">
        <f>(Cockpit!$I$25*Cockpit!$I$9+IF(A15&lt;=15,Cockpit!$I$26,IF(A15&lt;=30,Cockpit!$I$27,Cockpit!$I$28))*Cockpit!$I$10+Cockpit!$I$29)*(1+Cockpit!$I$31)^(A15-1)+Cockpit!$I$30*B15</f>
        <v>1591.3111872110749</v>
      </c>
      <c r="E15" s="92">
        <f t="shared" si="0"/>
        <v>12392.136445670121</v>
      </c>
      <c r="F15" s="92">
        <f t="shared" si="1"/>
        <v>8713.564326441312</v>
      </c>
      <c r="G15" s="90">
        <f t="shared" si="6"/>
        <v>856.65486260199214</v>
      </c>
      <c r="H15" s="92">
        <f t="shared" si="2"/>
        <v>10583.27080234309</v>
      </c>
      <c r="I15" s="92">
        <f t="shared" si="3"/>
        <v>-1574.651613299784</v>
      </c>
      <c r="J15" s="92">
        <f>I15*Cockpit!$F$33</f>
        <v>-697.72812985313419</v>
      </c>
      <c r="K15" s="92">
        <f t="shared" si="4"/>
        <v>1554.3829924551264</v>
      </c>
      <c r="L15" s="92">
        <f t="shared" si="7"/>
        <v>58160.675469898139</v>
      </c>
      <c r="M15" s="92">
        <f t="shared" si="5"/>
        <v>348311.23005593446</v>
      </c>
      <c r="N15" s="90">
        <f>MIN(Cockpit!$L$22*(1+Cockpit!$L$23)^A15,Cockpit!$L$26*B15)+Cockpit!$C$36*MAX(0,1-A15/40)</f>
        <v>513951.40936277003</v>
      </c>
      <c r="O15" s="93">
        <f t="shared" si="8"/>
        <v>197943.8547554813</v>
      </c>
      <c r="P15" s="93">
        <f t="shared" si="9"/>
        <v>20000</v>
      </c>
      <c r="Q15" s="89">
        <f>IF(A15&gt;Cockpit!$L$21,0,IF(A15=Cockpit!$L$21,K15+Cockpit!$L$33,K15))</f>
        <v>167194.5622992907</v>
      </c>
      <c r="R15" s="93">
        <f>IF(AND(A15&lt;=Cockpit!$F$42,Cockpit!$F$40="Ja"),Cockpit!$F$41*Cockpit!$F$44,0)</f>
        <v>0</v>
      </c>
      <c r="S15" s="93">
        <f>IF(Cockpit!$F$36="degressiv",MAX(0,MIN(0.05*(Cockpit!$F$37-O14+IF(A15&lt;=Cockpit!$F$42,(A15-1)*R15,0)),Cockpit!$F$37-O14-R15)),IF(OR(Cockpit!$F$40&lt;&gt;"Ja",Cockpit!$F$42&lt;=0,A15&lt;=Cockpit!$F$42),MIN(0.03*Cockpit!$F$37,MAX(0,Cockpit!$F$37-O14-R15)),MIN((Cockpit!$F$37-Cockpit!$F$42*(0.03*Cockpit!$F$37+Cockpit!$F$41*Cockpit!$F$44))/MAX(1,ROUNDDOWN(1/0.03,0)-Cockpit!$F$42),MAX(0,Cockpit!$F$37-O14-R15))))</f>
        <v>8583.2708023430896</v>
      </c>
      <c r="T15" s="93">
        <f>MIN(Cockpit!$F$45*Cockpit!$C$28,MAX(0,Cockpit!$C$28-P14))</f>
        <v>2000</v>
      </c>
      <c r="U15" s="93">
        <f>IF(Cockpit!$F$46&gt;0,MIN(Cockpit!$C$24*Cockpit!$F$46,MAX(0,Cockpit!$C$24-V14)),0)</f>
        <v>0</v>
      </c>
      <c r="V15" s="93">
        <f t="shared" si="10"/>
        <v>0</v>
      </c>
      <c r="W15" s="93">
        <f>Y14*Cockpit!$F$15</f>
        <v>3017.26240966057</v>
      </c>
      <c r="X15" s="93">
        <f>MIN(Cockpit!$F$17-W15,Y14)</f>
        <v>3424.4055962415073</v>
      </c>
      <c r="Y15" s="93">
        <f t="shared" si="11"/>
        <v>119228.53788589549</v>
      </c>
      <c r="Z15" s="93">
        <f>AB14*Cockpit!$F$21</f>
        <v>9374.8740360095508</v>
      </c>
      <c r="AA15" s="93">
        <f>MIN(Cockpit!$F$23-Z15,AB14)</f>
        <v>5289.1587301998043</v>
      </c>
      <c r="AB15" s="93">
        <f t="shared" si="12"/>
        <v>229082.69217003896</v>
      </c>
      <c r="AC15" s="89">
        <f>IF(A15&gt;Cockpit!$L$21,0,K15)</f>
        <v>1554.3829924551264</v>
      </c>
    </row>
    <row r="16" spans="1:29" ht="18" customHeight="1" x14ac:dyDescent="0.3">
      <c r="A16" s="88">
        <v>11</v>
      </c>
      <c r="B16" s="90">
        <f>Cockpit!$I$17*(1+Cockpit!$I$18)^(A16-1)</f>
        <v>23566.868492472615</v>
      </c>
      <c r="C16" s="90">
        <f>IF(Cockpit!$C$33="Ja",Cockpit!$I$22,0)</f>
        <v>561.6</v>
      </c>
      <c r="D16" s="90">
        <f>(Cockpit!$I$25*Cockpit!$I$9+IF(A16&lt;=15,Cockpit!$I$26,IF(A16&lt;=30,Cockpit!$I$27,Cockpit!$I$28))*Cockpit!$I$10+Cockpit!$I$29)*(1+Cockpit!$I$31)^(A16-1)+Cockpit!$I$30*B16</f>
        <v>1631.093966891352</v>
      </c>
      <c r="E16" s="90">
        <f t="shared" si="0"/>
        <v>12096.329718794588</v>
      </c>
      <c r="F16" s="90">
        <f t="shared" si="1"/>
        <v>9009.3710533168432</v>
      </c>
      <c r="G16" s="90">
        <f t="shared" si="6"/>
        <v>1391.6737534698295</v>
      </c>
      <c r="H16" s="90">
        <f t="shared" si="2"/>
        <v>8154.1072622259353</v>
      </c>
      <c r="I16" s="90">
        <f t="shared" si="3"/>
        <v>1685.3375445607389</v>
      </c>
      <c r="J16" s="90">
        <f>I16*Cockpit!$F$33</f>
        <v>746.77306599486337</v>
      </c>
      <c r="K16" s="90">
        <f t="shared" si="4"/>
        <v>644.90068747496616</v>
      </c>
      <c r="L16" s="90">
        <f t="shared" si="7"/>
        <v>58805.576157373107</v>
      </c>
      <c r="M16" s="90">
        <f t="shared" si="5"/>
        <v>339301.8590026176</v>
      </c>
      <c r="N16" s="90">
        <f>MIN(Cockpit!$L$22*(1+Cockpit!$L$23)^A16,Cockpit!$L$26*B16)+Cockpit!$C$36*MAX(0,1-A16/40)</f>
        <v>518648.27345639764</v>
      </c>
      <c r="O16" s="89">
        <f t="shared" si="8"/>
        <v>206097.96201770724</v>
      </c>
      <c r="P16" s="89">
        <f t="shared" si="9"/>
        <v>20000</v>
      </c>
      <c r="Q16" s="89">
        <f>IF(A16&gt;Cockpit!$L$21,0,IF(A16=Cockpit!$L$21,K16+Cockpit!$L$33,K16))</f>
        <v>0</v>
      </c>
      <c r="R16" s="89">
        <f>IF(AND(A16&lt;=Cockpit!$F$42,Cockpit!$F$40="Ja"),Cockpit!$F$41*Cockpit!$F$44,0)</f>
        <v>0</v>
      </c>
      <c r="S16" s="93">
        <f>IF(Cockpit!$F$36="degressiv",MAX(0,MIN(0.05*(Cockpit!$F$37-O15+IF(A16&lt;=Cockpit!$F$42,(A16-1)*R16,0)),Cockpit!$F$37-O15-R16)),IF(OR(Cockpit!$F$40&lt;&gt;"Ja",Cockpit!$F$42&lt;=0,A16&lt;=Cockpit!$F$42),MIN(0.03*Cockpit!$F$37,MAX(0,Cockpit!$F$37-O15-R16)),MIN((Cockpit!$F$37-Cockpit!$F$42*(0.03*Cockpit!$F$37+Cockpit!$F$41*Cockpit!$F$44))/MAX(1,ROUNDDOWN(1/0.03,0)-Cockpit!$F$42),MAX(0,Cockpit!$F$37-O15-R16))))</f>
        <v>8154.1072622259353</v>
      </c>
      <c r="T16" s="89">
        <f>MIN(Cockpit!$F$45*Cockpit!$C$28,MAX(0,Cockpit!$C$28-P15))</f>
        <v>0</v>
      </c>
      <c r="U16" s="93">
        <f>IF(Cockpit!$F$46&gt;0,MIN(Cockpit!$C$24*Cockpit!$F$46,MAX(0,Cockpit!$C$24-V15)),0)</f>
        <v>0</v>
      </c>
      <c r="V16" s="89">
        <f t="shared" si="10"/>
        <v>0</v>
      </c>
      <c r="W16" s="89">
        <f>Y15*Cockpit!$F$15</f>
        <v>2933.022031993029</v>
      </c>
      <c r="X16" s="89">
        <f>MIN(Cockpit!$F$17-W16,Y15)</f>
        <v>3508.6459739090483</v>
      </c>
      <c r="Y16" s="89">
        <f t="shared" si="11"/>
        <v>115719.89191198644</v>
      </c>
      <c r="Z16" s="89">
        <f>AB15*Cockpit!$F$21</f>
        <v>9163.3076868015596</v>
      </c>
      <c r="AA16" s="89">
        <f>MIN(Cockpit!$F$23-Z16,AB15)</f>
        <v>5500.7250794077954</v>
      </c>
      <c r="AB16" s="89">
        <f t="shared" si="12"/>
        <v>223581.96709063117</v>
      </c>
      <c r="AC16" s="89">
        <f>IF(A16&gt;Cockpit!$L$21,0,K16)</f>
        <v>0</v>
      </c>
    </row>
    <row r="17" spans="1:29" ht="18" customHeight="1" x14ac:dyDescent="0.3">
      <c r="A17" s="91">
        <v>12</v>
      </c>
      <c r="B17" s="92">
        <f>Cockpit!$I$17*(1+Cockpit!$I$18)^(A17-1)</f>
        <v>24156.040204784429</v>
      </c>
      <c r="C17" s="90">
        <f>IF(Cockpit!$C$33="Ja",Cockpit!$I$22,0)</f>
        <v>561.6</v>
      </c>
      <c r="D17" s="90">
        <f>(Cockpit!$I$25*Cockpit!$I$9+IF(A17&lt;=15,Cockpit!$I$26,IF(A17&lt;=30,Cockpit!$I$27,Cockpit!$I$28))*Cockpit!$I$10+Cockpit!$I$29)*(1+Cockpit!$I$31)^(A17-1)+Cockpit!$I$30*B17</f>
        <v>1671.8713160636355</v>
      </c>
      <c r="E17" s="92">
        <f t="shared" si="0"/>
        <v>11789.988024660113</v>
      </c>
      <c r="F17" s="92">
        <f t="shared" si="1"/>
        <v>9315.7127474513181</v>
      </c>
      <c r="G17" s="90">
        <f t="shared" si="6"/>
        <v>1940.06811660936</v>
      </c>
      <c r="H17" s="92">
        <f t="shared" si="2"/>
        <v>7746.4018991146386</v>
      </c>
      <c r="I17" s="92">
        <f t="shared" si="3"/>
        <v>2947.778964946041</v>
      </c>
      <c r="J17" s="92">
        <f>I17*Cockpit!$F$33</f>
        <v>1306.1608593675905</v>
      </c>
      <c r="K17" s="92">
        <f t="shared" si="4"/>
        <v>633.90725724176946</v>
      </c>
      <c r="L17" s="92">
        <f t="shared" si="7"/>
        <v>59439.483414614879</v>
      </c>
      <c r="M17" s="92">
        <f t="shared" si="5"/>
        <v>329986.14625516627</v>
      </c>
      <c r="N17" s="90">
        <f>MIN(Cockpit!$L$22*(1+Cockpit!$L$23)^A17,Cockpit!$L$26*B17)+Cockpit!$C$36*MAX(0,1-A17/40)</f>
        <v>523395.51119096164</v>
      </c>
      <c r="O17" s="93">
        <f t="shared" si="8"/>
        <v>213844.36391682187</v>
      </c>
      <c r="P17" s="93">
        <f t="shared" si="9"/>
        <v>20000</v>
      </c>
      <c r="Q17" s="89">
        <f>IF(A17&gt;Cockpit!$L$21,0,IF(A17=Cockpit!$L$21,K17+Cockpit!$L$33,K17))</f>
        <v>0</v>
      </c>
      <c r="R17" s="93">
        <f>IF(AND(A17&lt;=Cockpit!$F$42,Cockpit!$F$40="Ja"),Cockpit!$F$41*Cockpit!$F$44,0)</f>
        <v>0</v>
      </c>
      <c r="S17" s="93">
        <f>IF(Cockpit!$F$36="degressiv",MAX(0,MIN(0.05*(Cockpit!$F$37-O16+IF(A17&lt;=Cockpit!$F$42,(A17-1)*R17,0)),Cockpit!$F$37-O16-R17)),IF(OR(Cockpit!$F$40&lt;&gt;"Ja",Cockpit!$F$42&lt;=0,A17&lt;=Cockpit!$F$42),MIN(0.03*Cockpit!$F$37,MAX(0,Cockpit!$F$37-O16-R17)),MIN((Cockpit!$F$37-Cockpit!$F$42*(0.03*Cockpit!$F$37+Cockpit!$F$41*Cockpit!$F$44))/MAX(1,ROUNDDOWN(1/0.03,0)-Cockpit!$F$42),MAX(0,Cockpit!$F$37-O16-R17))))</f>
        <v>7746.4018991146386</v>
      </c>
      <c r="T17" s="93">
        <f>MIN(Cockpit!$F$45*Cockpit!$C$28,MAX(0,Cockpit!$C$28-P16))</f>
        <v>0</v>
      </c>
      <c r="U17" s="93">
        <f>IF(Cockpit!$F$46&gt;0,MIN(Cockpit!$C$24*Cockpit!$F$46,MAX(0,Cockpit!$C$24-V16)),0)</f>
        <v>0</v>
      </c>
      <c r="V17" s="93">
        <f t="shared" si="10"/>
        <v>0</v>
      </c>
      <c r="W17" s="93">
        <f>Y16*Cockpit!$F$15</f>
        <v>2846.7093410348666</v>
      </c>
      <c r="X17" s="93">
        <f>MIN(Cockpit!$F$17-W17,Y16)</f>
        <v>3594.9586648672107</v>
      </c>
      <c r="Y17" s="93">
        <f t="shared" si="11"/>
        <v>112124.93324711923</v>
      </c>
      <c r="Z17" s="93">
        <f>AB16*Cockpit!$F$21</f>
        <v>8943.2786836252471</v>
      </c>
      <c r="AA17" s="93">
        <f>MIN(Cockpit!$F$23-Z17,AB16)</f>
        <v>5720.7540825841079</v>
      </c>
      <c r="AB17" s="93">
        <f t="shared" si="12"/>
        <v>217861.21300804705</v>
      </c>
      <c r="AC17" s="89">
        <f>IF(A17&gt;Cockpit!$L$21,0,K17)</f>
        <v>0</v>
      </c>
    </row>
    <row r="18" spans="1:29" ht="18" customHeight="1" x14ac:dyDescent="0.3">
      <c r="A18" s="88">
        <v>13</v>
      </c>
      <c r="B18" s="90">
        <f>Cockpit!$I$17*(1+Cockpit!$I$18)^(A18-1)</f>
        <v>24759.941209904038</v>
      </c>
      <c r="C18" s="90">
        <f>IF(Cockpit!$C$33="Ja",Cockpit!$I$22,0)</f>
        <v>561.6</v>
      </c>
      <c r="D18" s="90">
        <f>(Cockpit!$I$25*Cockpit!$I$9+IF(A18&lt;=15,Cockpit!$I$26,IF(A18&lt;=30,Cockpit!$I$27,Cockpit!$I$28))*Cockpit!$I$10+Cockpit!$I$29)*(1+Cockpit!$I$31)^(A18-1)+Cockpit!$I$30*B18</f>
        <v>1713.6680989652264</v>
      </c>
      <c r="E18" s="90">
        <f t="shared" si="0"/>
        <v>11472.721878201017</v>
      </c>
      <c r="F18" s="90">
        <f t="shared" si="1"/>
        <v>9632.9788939104164</v>
      </c>
      <c r="G18" s="90">
        <f t="shared" si="6"/>
        <v>2502.1723388273767</v>
      </c>
      <c r="H18" s="90">
        <f t="shared" si="2"/>
        <v>7359.0818041589073</v>
      </c>
      <c r="I18" s="90">
        <f t="shared" si="3"/>
        <v>4214.4694285788873</v>
      </c>
      <c r="J18" s="90">
        <f>I18*Cockpit!$F$33</f>
        <v>1867.4314038033046</v>
      </c>
      <c r="K18" s="90">
        <f t="shared" si="4"/>
        <v>634.74093502407209</v>
      </c>
      <c r="L18" s="90">
        <f t="shared" si="7"/>
        <v>60074.224349638949</v>
      </c>
      <c r="M18" s="90">
        <f t="shared" si="5"/>
        <v>320353.16736125585</v>
      </c>
      <c r="N18" s="90">
        <f>MIN(Cockpit!$L$22*(1+Cockpit!$L$23)^A18,Cockpit!$L$26*B18)+Cockpit!$C$36*MAX(0,1-A18/40)</f>
        <v>528193.62630287127</v>
      </c>
      <c r="O18" s="89">
        <f t="shared" si="8"/>
        <v>221203.44572098076</v>
      </c>
      <c r="P18" s="89">
        <f t="shared" si="9"/>
        <v>20000</v>
      </c>
      <c r="Q18" s="89">
        <f>IF(A18&gt;Cockpit!$L$21,0,IF(A18=Cockpit!$L$21,K18+Cockpit!$L$33,K18))</f>
        <v>0</v>
      </c>
      <c r="R18" s="89">
        <f>IF(AND(A18&lt;=Cockpit!$F$42,Cockpit!$F$40="Ja"),Cockpit!$F$41*Cockpit!$F$44,0)</f>
        <v>0</v>
      </c>
      <c r="S18" s="93">
        <f>IF(Cockpit!$F$36="degressiv",MAX(0,MIN(0.05*(Cockpit!$F$37-O17+IF(A18&lt;=Cockpit!$F$42,(A18-1)*R18,0)),Cockpit!$F$37-O17-R18)),IF(OR(Cockpit!$F$40&lt;&gt;"Ja",Cockpit!$F$42&lt;=0,A18&lt;=Cockpit!$F$42),MIN(0.03*Cockpit!$F$37,MAX(0,Cockpit!$F$37-O17-R18)),MIN((Cockpit!$F$37-Cockpit!$F$42*(0.03*Cockpit!$F$37+Cockpit!$F$41*Cockpit!$F$44))/MAX(1,ROUNDDOWN(1/0.03,0)-Cockpit!$F$42),MAX(0,Cockpit!$F$37-O17-R18))))</f>
        <v>7359.0818041589073</v>
      </c>
      <c r="T18" s="89">
        <f>MIN(Cockpit!$F$45*Cockpit!$C$28,MAX(0,Cockpit!$C$28-P17))</f>
        <v>0</v>
      </c>
      <c r="U18" s="93">
        <f>IF(Cockpit!$F$46&gt;0,MIN(Cockpit!$C$24*Cockpit!$F$46,MAX(0,Cockpit!$C$24-V17)),0)</f>
        <v>0</v>
      </c>
      <c r="V18" s="89">
        <f t="shared" si="10"/>
        <v>0</v>
      </c>
      <c r="W18" s="89">
        <f>Y17*Cockpit!$F$15</f>
        <v>2758.2733578791331</v>
      </c>
      <c r="X18" s="89">
        <f>MIN(Cockpit!$F$17-W18,Y17)</f>
        <v>3683.3946480229442</v>
      </c>
      <c r="Y18" s="89">
        <f t="shared" si="11"/>
        <v>108441.53859909628</v>
      </c>
      <c r="Z18" s="89">
        <f>AB17*Cockpit!$F$21</f>
        <v>8714.4485203218828</v>
      </c>
      <c r="AA18" s="89">
        <f>MIN(Cockpit!$F$23-Z18,AB17)</f>
        <v>5949.5842458874722</v>
      </c>
      <c r="AB18" s="89">
        <f t="shared" si="12"/>
        <v>211911.62876215958</v>
      </c>
      <c r="AC18" s="89">
        <f>IF(A18&gt;Cockpit!$L$21,0,K18)</f>
        <v>0</v>
      </c>
    </row>
    <row r="19" spans="1:29" ht="18" customHeight="1" x14ac:dyDescent="0.3">
      <c r="A19" s="91">
        <v>14</v>
      </c>
      <c r="B19" s="92">
        <f>Cockpit!$I$17*(1+Cockpit!$I$18)^(A19-1)</f>
        <v>25378.939740151636</v>
      </c>
      <c r="C19" s="90">
        <f>IF(Cockpit!$C$33="Ja",Cockpit!$I$22,0)</f>
        <v>561.6</v>
      </c>
      <c r="D19" s="90">
        <f>(Cockpit!$I$25*Cockpit!$I$9+IF(A19&lt;=15,Cockpit!$I$26,IF(A19&lt;=30,Cockpit!$I$27,Cockpit!$I$28))*Cockpit!$I$10+Cockpit!$I$29)*(1+Cockpit!$I$31)^(A19-1)+Cockpit!$I$30*B19</f>
        <v>1756.5098014393568</v>
      </c>
      <c r="E19" s="92">
        <f t="shared" si="0"/>
        <v>11144.127000024151</v>
      </c>
      <c r="F19" s="92">
        <f t="shared" si="1"/>
        <v>9961.5737720872803</v>
      </c>
      <c r="G19" s="90">
        <f t="shared" si="6"/>
        <v>3078.3291666008481</v>
      </c>
      <c r="H19" s="92">
        <f t="shared" si="2"/>
        <v>6991.1277139509621</v>
      </c>
      <c r="I19" s="92">
        <f t="shared" si="3"/>
        <v>5487.1752247371678</v>
      </c>
      <c r="J19" s="92">
        <f>I19*Cockpit!$F$33</f>
        <v>2431.3673420810387</v>
      </c>
      <c r="K19" s="92">
        <f t="shared" si="4"/>
        <v>646.9618245198094</v>
      </c>
      <c r="L19" s="92">
        <f t="shared" si="7"/>
        <v>60721.186174158756</v>
      </c>
      <c r="M19" s="92">
        <f t="shared" si="5"/>
        <v>310391.59358916857</v>
      </c>
      <c r="N19" s="90">
        <f>MIN(Cockpit!$L$22*(1+Cockpit!$L$23)^A19,Cockpit!$L$26*B19)+Cockpit!$C$36*MAX(0,1-A19/40)</f>
        <v>533043.1275659001</v>
      </c>
      <c r="O19" s="93">
        <f t="shared" si="8"/>
        <v>228194.57343493172</v>
      </c>
      <c r="P19" s="93">
        <f t="shared" si="9"/>
        <v>20000</v>
      </c>
      <c r="Q19" s="89">
        <f>IF(A19&gt;Cockpit!$L$21,0,IF(A19=Cockpit!$L$21,K19+Cockpit!$L$33,K19))</f>
        <v>0</v>
      </c>
      <c r="R19" s="93">
        <f>IF(AND(A19&lt;=Cockpit!$F$42,Cockpit!$F$40="Ja"),Cockpit!$F$41*Cockpit!$F$44,0)</f>
        <v>0</v>
      </c>
      <c r="S19" s="93">
        <f>IF(Cockpit!$F$36="degressiv",MAX(0,MIN(0.05*(Cockpit!$F$37-O18+IF(A19&lt;=Cockpit!$F$42,(A19-1)*R19,0)),Cockpit!$F$37-O18-R19)),IF(OR(Cockpit!$F$40&lt;&gt;"Ja",Cockpit!$F$42&lt;=0,A19&lt;=Cockpit!$F$42),MIN(0.03*Cockpit!$F$37,MAX(0,Cockpit!$F$37-O18-R19)),MIN((Cockpit!$F$37-Cockpit!$F$42*(0.03*Cockpit!$F$37+Cockpit!$F$41*Cockpit!$F$44))/MAX(1,ROUNDDOWN(1/0.03,0)-Cockpit!$F$42),MAX(0,Cockpit!$F$37-O18-R19))))</f>
        <v>6991.1277139509621</v>
      </c>
      <c r="T19" s="93">
        <f>MIN(Cockpit!$F$45*Cockpit!$C$28,MAX(0,Cockpit!$C$28-P18))</f>
        <v>0</v>
      </c>
      <c r="U19" s="93">
        <f>IF(Cockpit!$F$46&gt;0,MIN(Cockpit!$C$24*Cockpit!$F$46,MAX(0,Cockpit!$C$24-V18)),0)</f>
        <v>0</v>
      </c>
      <c r="V19" s="93">
        <f t="shared" si="10"/>
        <v>0</v>
      </c>
      <c r="W19" s="93">
        <f>Y18*Cockpit!$F$15</f>
        <v>2667.6618495377684</v>
      </c>
      <c r="X19" s="93">
        <f>MIN(Cockpit!$F$17-W19,Y18)</f>
        <v>3774.0061563643089</v>
      </c>
      <c r="Y19" s="93">
        <f t="shared" si="11"/>
        <v>104667.53244273197</v>
      </c>
      <c r="Z19" s="93">
        <f>AB18*Cockpit!$F$21</f>
        <v>8476.4651504863832</v>
      </c>
      <c r="AA19" s="93">
        <f>MIN(Cockpit!$F$23-Z19,AB18)</f>
        <v>6187.5676157229718</v>
      </c>
      <c r="AB19" s="93">
        <f t="shared" si="12"/>
        <v>205724.06114643661</v>
      </c>
      <c r="AC19" s="89">
        <f>IF(A19&gt;Cockpit!$L$21,0,K19)</f>
        <v>0</v>
      </c>
    </row>
    <row r="20" spans="1:29" ht="18" customHeight="1" x14ac:dyDescent="0.3">
      <c r="A20" s="88">
        <v>15</v>
      </c>
      <c r="B20" s="90">
        <f>Cockpit!$I$17*(1+Cockpit!$I$18)^(A20-1)</f>
        <v>26013.413233655425</v>
      </c>
      <c r="C20" s="90">
        <f>IF(Cockpit!$C$33="Ja",Cockpit!$I$22,0)</f>
        <v>561.6</v>
      </c>
      <c r="D20" s="90">
        <f>(Cockpit!$I$25*Cockpit!$I$9+IF(A20&lt;=15,Cockpit!$I$26,IF(A20&lt;=30,Cockpit!$I$27,Cockpit!$I$28))*Cockpit!$I$10+Cockpit!$I$29)*(1+Cockpit!$I$31)^(A20-1)+Cockpit!$I$30*B20</f>
        <v>1800.4225464753408</v>
      </c>
      <c r="E20" s="90">
        <f t="shared" si="0"/>
        <v>10803.783743948672</v>
      </c>
      <c r="F20" s="90">
        <f t="shared" si="1"/>
        <v>10301.917028162759</v>
      </c>
      <c r="G20" s="90">
        <f t="shared" si="6"/>
        <v>3668.889915068652</v>
      </c>
      <c r="H20" s="90">
        <f t="shared" si="2"/>
        <v>6641.5713282534143</v>
      </c>
      <c r="I20" s="90">
        <f t="shared" si="3"/>
        <v>6767.6356149779986</v>
      </c>
      <c r="J20" s="90">
        <f>I20*Cockpit!$F$33</f>
        <v>2998.7393409967508</v>
      </c>
      <c r="K20" s="90">
        <f t="shared" si="4"/>
        <v>670.15057407190125</v>
      </c>
      <c r="L20" s="90">
        <f t="shared" si="7"/>
        <v>61391.336748230657</v>
      </c>
      <c r="M20" s="90">
        <f t="shared" si="5"/>
        <v>300089.67656100582</v>
      </c>
      <c r="N20" s="90">
        <f>MIN(Cockpit!$L$22*(1+Cockpit!$L$23)^A20,Cockpit!$L$26*B20)+Cockpit!$C$36*MAX(0,1-A20/40)</f>
        <v>537944.52884155896</v>
      </c>
      <c r="O20" s="89">
        <f t="shared" si="8"/>
        <v>234836.14476318515</v>
      </c>
      <c r="P20" s="89">
        <f t="shared" si="9"/>
        <v>20000</v>
      </c>
      <c r="Q20" s="89">
        <f>IF(A20&gt;Cockpit!$L$21,0,IF(A20=Cockpit!$L$21,K20+Cockpit!$L$33,K20))</f>
        <v>0</v>
      </c>
      <c r="R20" s="89">
        <f>IF(AND(A20&lt;=Cockpit!$F$42,Cockpit!$F$40="Ja"),Cockpit!$F$41*Cockpit!$F$44,0)</f>
        <v>0</v>
      </c>
      <c r="S20" s="93">
        <f>IF(Cockpit!$F$36="degressiv",MAX(0,MIN(0.05*(Cockpit!$F$37-O19+IF(A20&lt;=Cockpit!$F$42,(A20-1)*R20,0)),Cockpit!$F$37-O19-R20)),IF(OR(Cockpit!$F$40&lt;&gt;"Ja",Cockpit!$F$42&lt;=0,A20&lt;=Cockpit!$F$42),MIN(0.03*Cockpit!$F$37,MAX(0,Cockpit!$F$37-O19-R20)),MIN((Cockpit!$F$37-Cockpit!$F$42*(0.03*Cockpit!$F$37+Cockpit!$F$41*Cockpit!$F$44))/MAX(1,ROUNDDOWN(1/0.03,0)-Cockpit!$F$42),MAX(0,Cockpit!$F$37-O19-R20))))</f>
        <v>6641.5713282534143</v>
      </c>
      <c r="T20" s="89">
        <f>MIN(Cockpit!$F$45*Cockpit!$C$28,MAX(0,Cockpit!$C$28-P19))</f>
        <v>0</v>
      </c>
      <c r="U20" s="93">
        <f>IF(Cockpit!$F$46&gt;0,MIN(Cockpit!$C$24*Cockpit!$F$46,MAX(0,Cockpit!$C$24-V19)),0)</f>
        <v>0</v>
      </c>
      <c r="V20" s="89">
        <f t="shared" si="10"/>
        <v>0</v>
      </c>
      <c r="W20" s="89">
        <f>Y19*Cockpit!$F$15</f>
        <v>2574.8212980912067</v>
      </c>
      <c r="X20" s="89">
        <f>MIN(Cockpit!$F$17-W20,Y19)</f>
        <v>3866.8467078108706</v>
      </c>
      <c r="Y20" s="89">
        <f t="shared" si="11"/>
        <v>100800.68573492111</v>
      </c>
      <c r="Z20" s="89">
        <f>AB19*Cockpit!$F$21</f>
        <v>8228.9624458574654</v>
      </c>
      <c r="AA20" s="89">
        <f>MIN(Cockpit!$F$23-Z20,AB19)</f>
        <v>6435.0703203518897</v>
      </c>
      <c r="AB20" s="89">
        <f t="shared" si="12"/>
        <v>199288.99082608472</v>
      </c>
      <c r="AC20" s="89">
        <f>IF(A20&gt;Cockpit!$L$21,0,K20)</f>
        <v>0</v>
      </c>
    </row>
    <row r="21" spans="1:29" ht="18" customHeight="1" x14ac:dyDescent="0.3">
      <c r="A21" s="91">
        <v>16</v>
      </c>
      <c r="B21" s="92">
        <f>Cockpit!$I$17*(1+Cockpit!$I$18)^(A21-1)</f>
        <v>26663.748564496815</v>
      </c>
      <c r="C21" s="90">
        <f>IF(Cockpit!$C$33="Ja",Cockpit!$I$22,0)</f>
        <v>561.6</v>
      </c>
      <c r="D21" s="90">
        <f>(Cockpit!$I$25*Cockpit!$I$9+IF(A21&lt;=15,Cockpit!$I$26,IF(A21&lt;=30,Cockpit!$I$27,Cockpit!$I$28))*Cockpit!$I$10+Cockpit!$I$29)*(1+Cockpit!$I$31)^(A21-1)+Cockpit!$I$30*B21</f>
        <v>3426.9747079531612</v>
      </c>
      <c r="E21" s="92">
        <f t="shared" si="0"/>
        <v>10451.256502122447</v>
      </c>
      <c r="F21" s="92">
        <f t="shared" si="1"/>
        <v>10654.444269988984</v>
      </c>
      <c r="G21" s="90">
        <f t="shared" si="6"/>
        <v>2692.6730844322192</v>
      </c>
      <c r="H21" s="92">
        <f t="shared" si="2"/>
        <v>6309.4927618407428</v>
      </c>
      <c r="I21" s="92">
        <f t="shared" si="3"/>
        <v>6476.024592580462</v>
      </c>
      <c r="J21" s="92">
        <f>I21*Cockpit!$F$33</f>
        <v>2869.5264969724021</v>
      </c>
      <c r="K21" s="92">
        <f t="shared" si="4"/>
        <v>-176.85341254018294</v>
      </c>
      <c r="L21" s="92">
        <f t="shared" si="7"/>
        <v>61214.483335690471</v>
      </c>
      <c r="M21" s="92">
        <f t="shared" si="5"/>
        <v>289435.23229101684</v>
      </c>
      <c r="N21" s="90">
        <f>MIN(Cockpit!$L$22*(1+Cockpit!$L$23)^A21,Cockpit!$L$26*B21)+Cockpit!$C$36*MAX(0,1-A21/40)</f>
        <v>542898.34912997461</v>
      </c>
      <c r="O21" s="93">
        <f t="shared" si="8"/>
        <v>241145.6375250259</v>
      </c>
      <c r="P21" s="93">
        <f t="shared" si="9"/>
        <v>20000</v>
      </c>
      <c r="Q21" s="89">
        <f>IF(A21&gt;Cockpit!$L$21,0,IF(A21=Cockpit!$L$21,K21+Cockpit!$L$33,K21))</f>
        <v>0</v>
      </c>
      <c r="R21" s="93">
        <f>IF(AND(A21&lt;=Cockpit!$F$42,Cockpit!$F$40="Ja"),Cockpit!$F$41*Cockpit!$F$44,0)</f>
        <v>0</v>
      </c>
      <c r="S21" s="93">
        <f>IF(Cockpit!$F$36="degressiv",MAX(0,MIN(0.05*(Cockpit!$F$37-O20+IF(A21&lt;=Cockpit!$F$42,(A21-1)*R21,0)),Cockpit!$F$37-O20-R21)),IF(OR(Cockpit!$F$40&lt;&gt;"Ja",Cockpit!$F$42&lt;=0,A21&lt;=Cockpit!$F$42),MIN(0.03*Cockpit!$F$37,MAX(0,Cockpit!$F$37-O20-R21)),MIN((Cockpit!$F$37-Cockpit!$F$42*(0.03*Cockpit!$F$37+Cockpit!$F$41*Cockpit!$F$44))/MAX(1,ROUNDDOWN(1/0.03,0)-Cockpit!$F$42),MAX(0,Cockpit!$F$37-O20-R21))))</f>
        <v>6309.4927618407428</v>
      </c>
      <c r="T21" s="93">
        <f>MIN(Cockpit!$F$45*Cockpit!$C$28,MAX(0,Cockpit!$C$28-P20))</f>
        <v>0</v>
      </c>
      <c r="U21" s="93">
        <f>IF(Cockpit!$F$46&gt;0,MIN(Cockpit!$C$24*Cockpit!$F$46,MAX(0,Cockpit!$C$24-V20)),0)</f>
        <v>0</v>
      </c>
      <c r="V21" s="93">
        <f t="shared" si="10"/>
        <v>0</v>
      </c>
      <c r="W21" s="93">
        <f>Y20*Cockpit!$F$15</f>
        <v>2479.6968690790591</v>
      </c>
      <c r="X21" s="93">
        <f>MIN(Cockpit!$F$17-W21,Y20)</f>
        <v>3961.9711368230182</v>
      </c>
      <c r="Y21" s="93">
        <f t="shared" si="11"/>
        <v>96838.714598098086</v>
      </c>
      <c r="Z21" s="93">
        <f>AB20*Cockpit!$F$21</f>
        <v>7971.5596330433891</v>
      </c>
      <c r="AA21" s="93">
        <f>MIN(Cockpit!$F$23-Z21,AB20)</f>
        <v>6692.4731331659659</v>
      </c>
      <c r="AB21" s="93">
        <f t="shared" si="12"/>
        <v>192596.51769291874</v>
      </c>
      <c r="AC21" s="89">
        <f>IF(A21&gt;Cockpit!$L$21,0,K21)</f>
        <v>0</v>
      </c>
    </row>
    <row r="22" spans="1:29" ht="18" customHeight="1" x14ac:dyDescent="0.3">
      <c r="A22" s="88">
        <v>17</v>
      </c>
      <c r="B22" s="90">
        <f>Cockpit!$I$17*(1+Cockpit!$I$18)^(A22-1)</f>
        <v>27330.342278609234</v>
      </c>
      <c r="C22" s="90">
        <f>IF(Cockpit!$C$33="Ja",Cockpit!$I$22,0)</f>
        <v>561.6</v>
      </c>
      <c r="D22" s="90">
        <f>(Cockpit!$I$25*Cockpit!$I$9+IF(A22&lt;=15,Cockpit!$I$26,IF(A22&lt;=30,Cockpit!$I$27,Cockpit!$I$28))*Cockpit!$I$10+Cockpit!$I$29)*(1+Cockpit!$I$31)^(A22-1)+Cockpit!$I$30*B22</f>
        <v>3512.6490756519897</v>
      </c>
      <c r="E22" s="90">
        <f t="shared" si="0"/>
        <v>10086.093086829962</v>
      </c>
      <c r="F22" s="90">
        <f t="shared" si="1"/>
        <v>11019.607685281469</v>
      </c>
      <c r="G22" s="90">
        <f t="shared" si="6"/>
        <v>3273.5924308458125</v>
      </c>
      <c r="H22" s="90">
        <f t="shared" si="2"/>
        <v>5994.018123748705</v>
      </c>
      <c r="I22" s="90">
        <f t="shared" si="3"/>
        <v>7737.5819923785784</v>
      </c>
      <c r="J22" s="90">
        <f>I22*Cockpit!$F$33</f>
        <v>3428.5225808229475</v>
      </c>
      <c r="K22" s="90">
        <f t="shared" si="4"/>
        <v>-154.93014997713499</v>
      </c>
      <c r="L22" s="90">
        <f t="shared" si="7"/>
        <v>61059.553185713339</v>
      </c>
      <c r="M22" s="90">
        <f t="shared" si="5"/>
        <v>278415.62460573536</v>
      </c>
      <c r="N22" s="90">
        <f>MIN(Cockpit!$L$22*(1+Cockpit!$L$23)^A22,Cockpit!$L$26*B22)+Cockpit!$C$36*MAX(0,1-A22/40)</f>
        <v>547905.11262127443</v>
      </c>
      <c r="O22" s="89">
        <f t="shared" si="8"/>
        <v>247139.65564877461</v>
      </c>
      <c r="P22" s="89">
        <f t="shared" si="9"/>
        <v>20000</v>
      </c>
      <c r="Q22" s="89">
        <f>IF(A22&gt;Cockpit!$L$21,0,IF(A22=Cockpit!$L$21,K22+Cockpit!$L$33,K22))</f>
        <v>0</v>
      </c>
      <c r="R22" s="89">
        <f>IF(AND(A22&lt;=Cockpit!$F$42,Cockpit!$F$40="Ja"),Cockpit!$F$41*Cockpit!$F$44,0)</f>
        <v>0</v>
      </c>
      <c r="S22" s="93">
        <f>IF(Cockpit!$F$36="degressiv",MAX(0,MIN(0.05*(Cockpit!$F$37-O21+IF(A22&lt;=Cockpit!$F$42,(A22-1)*R22,0)),Cockpit!$F$37-O21-R22)),IF(OR(Cockpit!$F$40&lt;&gt;"Ja",Cockpit!$F$42&lt;=0,A22&lt;=Cockpit!$F$42),MIN(0.03*Cockpit!$F$37,MAX(0,Cockpit!$F$37-O21-R22)),MIN((Cockpit!$F$37-Cockpit!$F$42*(0.03*Cockpit!$F$37+Cockpit!$F$41*Cockpit!$F$44))/MAX(1,ROUNDDOWN(1/0.03,0)-Cockpit!$F$42),MAX(0,Cockpit!$F$37-O21-R22))))</f>
        <v>5994.018123748705</v>
      </c>
      <c r="T22" s="89">
        <f>MIN(Cockpit!$F$45*Cockpit!$C$28,MAX(0,Cockpit!$C$28-P21))</f>
        <v>0</v>
      </c>
      <c r="U22" s="93">
        <f>IF(Cockpit!$F$46&gt;0,MIN(Cockpit!$C$24*Cockpit!$F$46,MAX(0,Cockpit!$C$24-V21)),0)</f>
        <v>0</v>
      </c>
      <c r="V22" s="89">
        <f t="shared" si="10"/>
        <v>0</v>
      </c>
      <c r="W22" s="89">
        <f>Y21*Cockpit!$F$15</f>
        <v>2382.232379113213</v>
      </c>
      <c r="X22" s="89">
        <f>MIN(Cockpit!$F$17-W22,Y21)</f>
        <v>4059.4356267888643</v>
      </c>
      <c r="Y22" s="89">
        <f t="shared" si="11"/>
        <v>92779.278971309221</v>
      </c>
      <c r="Z22" s="89">
        <f>AB21*Cockpit!$F$21</f>
        <v>7703.8607077167499</v>
      </c>
      <c r="AA22" s="89">
        <f>MIN(Cockpit!$F$23-Z22,AB21)</f>
        <v>6960.1720584926052</v>
      </c>
      <c r="AB22" s="89">
        <f t="shared" si="12"/>
        <v>185636.34563442614</v>
      </c>
      <c r="AC22" s="89">
        <f>IF(A22&gt;Cockpit!$L$21,0,K22)</f>
        <v>0</v>
      </c>
    </row>
    <row r="23" spans="1:29" ht="18" customHeight="1" x14ac:dyDescent="0.3">
      <c r="A23" s="91">
        <v>18</v>
      </c>
      <c r="B23" s="92">
        <f>Cockpit!$I$17*(1+Cockpit!$I$18)^(A23-1)</f>
        <v>28013.60083557446</v>
      </c>
      <c r="C23" s="90">
        <f>IF(Cockpit!$C$33="Ja",Cockpit!$I$22,0)</f>
        <v>561.6</v>
      </c>
      <c r="D23" s="90">
        <f>(Cockpit!$I$25*Cockpit!$I$9+IF(A23&lt;=15,Cockpit!$I$26,IF(A23&lt;=30,Cockpit!$I$27,Cockpit!$I$28))*Cockpit!$I$10+Cockpit!$I$29)*(1+Cockpit!$I$31)^(A23-1)+Cockpit!$I$30*B23</f>
        <v>3600.465302543289</v>
      </c>
      <c r="E23" s="92">
        <f t="shared" si="0"/>
        <v>9707.824088071251</v>
      </c>
      <c r="F23" s="92">
        <f t="shared" si="1"/>
        <v>11397.87668404018</v>
      </c>
      <c r="G23" s="90">
        <f t="shared" si="6"/>
        <v>3869.0347609197379</v>
      </c>
      <c r="H23" s="92">
        <f t="shared" si="2"/>
        <v>5694.3172175612699</v>
      </c>
      <c r="I23" s="92">
        <f t="shared" si="3"/>
        <v>9010.9942273986489</v>
      </c>
      <c r="J23" s="92">
        <f>I23*Cockpit!$F$33</f>
        <v>3992.7715421603407</v>
      </c>
      <c r="K23" s="92">
        <f t="shared" si="4"/>
        <v>-123.7367812406028</v>
      </c>
      <c r="L23" s="92">
        <f t="shared" si="7"/>
        <v>60935.816404472738</v>
      </c>
      <c r="M23" s="92">
        <f t="shared" si="5"/>
        <v>267017.74792169518</v>
      </c>
      <c r="N23" s="90">
        <f>MIN(Cockpit!$L$22*(1+Cockpit!$L$23)^A23,Cockpit!$L$26*B23)+Cockpit!$C$36*MAX(0,1-A23/40)</f>
        <v>552965.34874748718</v>
      </c>
      <c r="O23" s="93">
        <f t="shared" si="8"/>
        <v>252833.97286633588</v>
      </c>
      <c r="P23" s="93">
        <f t="shared" si="9"/>
        <v>20000</v>
      </c>
      <c r="Q23" s="89">
        <f>IF(A23&gt;Cockpit!$L$21,0,IF(A23=Cockpit!$L$21,K23+Cockpit!$L$33,K23))</f>
        <v>0</v>
      </c>
      <c r="R23" s="93">
        <f>IF(AND(A23&lt;=Cockpit!$F$42,Cockpit!$F$40="Ja"),Cockpit!$F$41*Cockpit!$F$44,0)</f>
        <v>0</v>
      </c>
      <c r="S23" s="93">
        <f>IF(Cockpit!$F$36="degressiv",MAX(0,MIN(0.05*(Cockpit!$F$37-O22+IF(A23&lt;=Cockpit!$F$42,(A23-1)*R23,0)),Cockpit!$F$37-O22-R23)),IF(OR(Cockpit!$F$40&lt;&gt;"Ja",Cockpit!$F$42&lt;=0,A23&lt;=Cockpit!$F$42),MIN(0.03*Cockpit!$F$37,MAX(0,Cockpit!$F$37-O22-R23)),MIN((Cockpit!$F$37-Cockpit!$F$42*(0.03*Cockpit!$F$37+Cockpit!$F$41*Cockpit!$F$44))/MAX(1,ROUNDDOWN(1/0.03,0)-Cockpit!$F$42),MAX(0,Cockpit!$F$37-O22-R23))))</f>
        <v>5694.3172175612699</v>
      </c>
      <c r="T23" s="93">
        <f>MIN(Cockpit!$F$45*Cockpit!$C$28,MAX(0,Cockpit!$C$28-P22))</f>
        <v>0</v>
      </c>
      <c r="U23" s="93">
        <f>IF(Cockpit!$F$46&gt;0,MIN(Cockpit!$C$24*Cockpit!$F$46,MAX(0,Cockpit!$C$24-V22)),0)</f>
        <v>0</v>
      </c>
      <c r="V23" s="93">
        <f t="shared" si="10"/>
        <v>0</v>
      </c>
      <c r="W23" s="93">
        <f>Y22*Cockpit!$F$15</f>
        <v>2282.3702626942068</v>
      </c>
      <c r="X23" s="93">
        <f>MIN(Cockpit!$F$17-W23,Y22)</f>
        <v>4159.2977432078706</v>
      </c>
      <c r="Y23" s="93">
        <f t="shared" si="11"/>
        <v>88619.981228101344</v>
      </c>
      <c r="Z23" s="93">
        <f>AB22*Cockpit!$F$21</f>
        <v>7425.4538253770452</v>
      </c>
      <c r="AA23" s="93">
        <f>MIN(Cockpit!$F$23-Z23,AB22)</f>
        <v>7238.5789408323099</v>
      </c>
      <c r="AB23" s="93">
        <f t="shared" si="12"/>
        <v>178397.76669359382</v>
      </c>
      <c r="AC23" s="89">
        <f>IF(A23&gt;Cockpit!$L$21,0,K23)</f>
        <v>0</v>
      </c>
    </row>
    <row r="24" spans="1:29" ht="18" customHeight="1" x14ac:dyDescent="0.3">
      <c r="A24" s="88">
        <v>19</v>
      </c>
      <c r="B24" s="90">
        <f>Cockpit!$I$17*(1+Cockpit!$I$18)^(A24-1)</f>
        <v>28713.940856463825</v>
      </c>
      <c r="C24" s="90">
        <f>IF(Cockpit!$C$33="Ja",Cockpit!$I$22,0)</f>
        <v>561.6</v>
      </c>
      <c r="D24" s="90">
        <f>(Cockpit!$I$25*Cockpit!$I$9+IF(A24&lt;=15,Cockpit!$I$26,IF(A24&lt;=30,Cockpit!$I$27,Cockpit!$I$28))*Cockpit!$I$10+Cockpit!$I$29)*(1+Cockpit!$I$31)^(A24-1)+Cockpit!$I$30*B24</f>
        <v>3690.4769351068712</v>
      </c>
      <c r="E24" s="90">
        <f t="shared" si="0"/>
        <v>9315.9622059550456</v>
      </c>
      <c r="F24" s="90">
        <f t="shared" si="1"/>
        <v>11789.738566156386</v>
      </c>
      <c r="G24" s="90">
        <f t="shared" si="6"/>
        <v>4479.3631492455206</v>
      </c>
      <c r="H24" s="90">
        <f t="shared" si="2"/>
        <v>5409.6013566832062</v>
      </c>
      <c r="I24" s="90">
        <f t="shared" si="3"/>
        <v>10297.900358718702</v>
      </c>
      <c r="J24" s="90">
        <f>I24*Cockpit!$F$33</f>
        <v>4562.9996489482564</v>
      </c>
      <c r="K24" s="90">
        <f t="shared" si="4"/>
        <v>-83.636499702735819</v>
      </c>
      <c r="L24" s="90">
        <f t="shared" si="7"/>
        <v>60852.179904770004</v>
      </c>
      <c r="M24" s="90">
        <f t="shared" si="5"/>
        <v>255228.00935553879</v>
      </c>
      <c r="N24" s="90">
        <f>MIN(Cockpit!$L$22*(1+Cockpit!$L$23)^A24,Cockpit!$L$26*B24)+Cockpit!$C$36*MAX(0,1-A24/40)</f>
        <v>558079.59223496192</v>
      </c>
      <c r="O24" s="89">
        <f t="shared" si="8"/>
        <v>258243.5742230191</v>
      </c>
      <c r="P24" s="89">
        <f t="shared" si="9"/>
        <v>20000</v>
      </c>
      <c r="Q24" s="89">
        <f>IF(A24&gt;Cockpit!$L$21,0,IF(A24=Cockpit!$L$21,K24+Cockpit!$L$33,K24))</f>
        <v>0</v>
      </c>
      <c r="R24" s="89">
        <f>IF(AND(A24&lt;=Cockpit!$F$42,Cockpit!$F$40="Ja"),Cockpit!$F$41*Cockpit!$F$44,0)</f>
        <v>0</v>
      </c>
      <c r="S24" s="93">
        <f>IF(Cockpit!$F$36="degressiv",MAX(0,MIN(0.05*(Cockpit!$F$37-O23+IF(A24&lt;=Cockpit!$F$42,(A24-1)*R24,0)),Cockpit!$F$37-O23-R24)),IF(OR(Cockpit!$F$40&lt;&gt;"Ja",Cockpit!$F$42&lt;=0,A24&lt;=Cockpit!$F$42),MIN(0.03*Cockpit!$F$37,MAX(0,Cockpit!$F$37-O23-R24)),MIN((Cockpit!$F$37-Cockpit!$F$42*(0.03*Cockpit!$F$37+Cockpit!$F$41*Cockpit!$F$44))/MAX(1,ROUNDDOWN(1/0.03,0)-Cockpit!$F$42),MAX(0,Cockpit!$F$37-O23-R24))))</f>
        <v>5409.6013566832062</v>
      </c>
      <c r="T24" s="89">
        <f>MIN(Cockpit!$F$45*Cockpit!$C$28,MAX(0,Cockpit!$C$28-P23))</f>
        <v>0</v>
      </c>
      <c r="U24" s="93">
        <f>IF(Cockpit!$F$46&gt;0,MIN(Cockpit!$C$24*Cockpit!$F$46,MAX(0,Cockpit!$C$24-V23)),0)</f>
        <v>0</v>
      </c>
      <c r="V24" s="89">
        <f t="shared" si="10"/>
        <v>0</v>
      </c>
      <c r="W24" s="89">
        <f>Y23*Cockpit!$F$15</f>
        <v>2180.0515382112931</v>
      </c>
      <c r="X24" s="89">
        <f>MIN(Cockpit!$F$17-W24,Y23)</f>
        <v>4261.6164676907847</v>
      </c>
      <c r="Y24" s="89">
        <f t="shared" si="11"/>
        <v>84358.364760410564</v>
      </c>
      <c r="Z24" s="89">
        <f>AB23*Cockpit!$F$21</f>
        <v>7135.910667743753</v>
      </c>
      <c r="AA24" s="89">
        <f>MIN(Cockpit!$F$23-Z24,AB23)</f>
        <v>7528.122098465602</v>
      </c>
      <c r="AB24" s="89">
        <f t="shared" si="12"/>
        <v>170869.64459512822</v>
      </c>
      <c r="AC24" s="89">
        <f>IF(A24&gt;Cockpit!$L$21,0,K24)</f>
        <v>0</v>
      </c>
    </row>
    <row r="25" spans="1:29" ht="18" customHeight="1" x14ac:dyDescent="0.3">
      <c r="A25" s="91">
        <v>20</v>
      </c>
      <c r="B25" s="92">
        <f>Cockpit!$I$17*(1+Cockpit!$I$18)^(A25-1)</f>
        <v>29431.789377875419</v>
      </c>
      <c r="C25" s="90">
        <f>IF(Cockpit!$C$33="Ja",Cockpit!$I$22,0)</f>
        <v>561.6</v>
      </c>
      <c r="D25" s="90">
        <f>(Cockpit!$I$25*Cockpit!$I$9+IF(A25&lt;=15,Cockpit!$I$26,IF(A25&lt;=30,Cockpit!$I$27,Cockpit!$I$28))*Cockpit!$I$10+Cockpit!$I$29)*(1+Cockpit!$I$31)^(A25-1)+Cockpit!$I$30*B25</f>
        <v>3782.738858484543</v>
      </c>
      <c r="E25" s="92">
        <f t="shared" si="0"/>
        <v>8910.0015569112293</v>
      </c>
      <c r="F25" s="92">
        <f t="shared" si="1"/>
        <v>12195.699215200204</v>
      </c>
      <c r="G25" s="90">
        <f t="shared" si="6"/>
        <v>5104.949747279441</v>
      </c>
      <c r="H25" s="92">
        <f t="shared" si="2"/>
        <v>5139.1212888490454</v>
      </c>
      <c r="I25" s="92">
        <f t="shared" si="3"/>
        <v>11599.927673630602</v>
      </c>
      <c r="J25" s="92">
        <f>I25*Cockpit!$F$33</f>
        <v>5139.9279521857188</v>
      </c>
      <c r="K25" s="92">
        <f t="shared" si="4"/>
        <v>-34.978204906277824</v>
      </c>
      <c r="L25" s="92">
        <f t="shared" si="7"/>
        <v>60817.201699863726</v>
      </c>
      <c r="M25" s="92">
        <f t="shared" si="5"/>
        <v>243032.31014033858</v>
      </c>
      <c r="N25" s="90">
        <f>MIN(Cockpit!$L$22*(1+Cockpit!$L$23)^A25,Cockpit!$L$26*B25)+Cockpit!$C$36*MAX(0,1-A25/40)</f>
        <v>563248.38315731159</v>
      </c>
      <c r="O25" s="93">
        <f t="shared" si="8"/>
        <v>263382.69551186817</v>
      </c>
      <c r="P25" s="93">
        <f t="shared" si="9"/>
        <v>20000</v>
      </c>
      <c r="Q25" s="89">
        <f>IF(A25&gt;Cockpit!$L$21,0,IF(A25=Cockpit!$L$21,K25+Cockpit!$L$33,K25))</f>
        <v>0</v>
      </c>
      <c r="R25" s="93">
        <f>IF(AND(A25&lt;=Cockpit!$F$42,Cockpit!$F$40="Ja"),Cockpit!$F$41*Cockpit!$F$44,0)</f>
        <v>0</v>
      </c>
      <c r="S25" s="93">
        <f>IF(Cockpit!$F$36="degressiv",MAX(0,MIN(0.05*(Cockpit!$F$37-O24+IF(A25&lt;=Cockpit!$F$42,(A25-1)*R25,0)),Cockpit!$F$37-O24-R25)),IF(OR(Cockpit!$F$40&lt;&gt;"Ja",Cockpit!$F$42&lt;=0,A25&lt;=Cockpit!$F$42),MIN(0.03*Cockpit!$F$37,MAX(0,Cockpit!$F$37-O24-R25)),MIN((Cockpit!$F$37-Cockpit!$F$42*(0.03*Cockpit!$F$37+Cockpit!$F$41*Cockpit!$F$44))/MAX(1,ROUNDDOWN(1/0.03,0)-Cockpit!$F$42),MAX(0,Cockpit!$F$37-O24-R25))))</f>
        <v>5139.1212888490454</v>
      </c>
      <c r="T25" s="93">
        <f>MIN(Cockpit!$F$45*Cockpit!$C$28,MAX(0,Cockpit!$C$28-P24))</f>
        <v>0</v>
      </c>
      <c r="U25" s="93">
        <f>IF(Cockpit!$F$46&gt;0,MIN(Cockpit!$C$24*Cockpit!$F$46,MAX(0,Cockpit!$C$24-V24)),0)</f>
        <v>0</v>
      </c>
      <c r="V25" s="93">
        <f t="shared" si="10"/>
        <v>0</v>
      </c>
      <c r="W25" s="93">
        <f>Y24*Cockpit!$F$15</f>
        <v>2075.2157731060997</v>
      </c>
      <c r="X25" s="93">
        <f>MIN(Cockpit!$F$17-W25,Y24)</f>
        <v>4366.4522327959776</v>
      </c>
      <c r="Y25" s="93">
        <f t="shared" si="11"/>
        <v>79991.912527614593</v>
      </c>
      <c r="Z25" s="93">
        <f>AB24*Cockpit!$F$21</f>
        <v>6834.7857838051286</v>
      </c>
      <c r="AA25" s="93">
        <f>MIN(Cockpit!$F$23-Z25,AB24)</f>
        <v>7829.2469824042264</v>
      </c>
      <c r="AB25" s="93">
        <f t="shared" si="12"/>
        <v>163040.39761272399</v>
      </c>
      <c r="AC25" s="89">
        <f>IF(A25&gt;Cockpit!$L$21,0,K25)</f>
        <v>0</v>
      </c>
    </row>
    <row r="26" spans="1:29" ht="18" customHeight="1" x14ac:dyDescent="0.3">
      <c r="A26" s="88">
        <v>21</v>
      </c>
      <c r="B26" s="90">
        <f>Cockpit!$I$17*(1+Cockpit!$I$18)^(A26-1)</f>
        <v>30167.5841123223</v>
      </c>
      <c r="C26" s="90">
        <f>IF(Cockpit!$C$33="Ja",Cockpit!$I$22,0)</f>
        <v>561.6</v>
      </c>
      <c r="D26" s="90">
        <f>(Cockpit!$I$25*Cockpit!$I$9+IF(A26&lt;=15,Cockpit!$I$26,IF(A26&lt;=30,Cockpit!$I$27,Cockpit!$I$28))*Cockpit!$I$10+Cockpit!$I$29)*(1+Cockpit!$I$31)^(A26-1)+Cockpit!$I$30*B26</f>
        <v>3877.307329946656</v>
      </c>
      <c r="E26" s="90">
        <f t="shared" si="0"/>
        <v>8489.4169526882797</v>
      </c>
      <c r="F26" s="90">
        <f t="shared" si="1"/>
        <v>12616.283819423154</v>
      </c>
      <c r="G26" s="90">
        <f t="shared" si="6"/>
        <v>5746.1760102642093</v>
      </c>
      <c r="H26" s="90">
        <f t="shared" si="2"/>
        <v>4882.1652244065917</v>
      </c>
      <c r="I26" s="90">
        <f t="shared" si="3"/>
        <v>12918.694605280773</v>
      </c>
      <c r="J26" s="90">
        <f>I26*Cockpit!$F$33</f>
        <v>5724.2735795999097</v>
      </c>
      <c r="K26" s="90">
        <f t="shared" si="4"/>
        <v>21.902430664299573</v>
      </c>
      <c r="L26" s="90">
        <f t="shared" si="7"/>
        <v>60839.104130528023</v>
      </c>
      <c r="M26" s="90">
        <f t="shared" si="5"/>
        <v>230416.02632091544</v>
      </c>
      <c r="N26" s="90">
        <f>MIN(Cockpit!$L$22*(1+Cockpit!$L$23)^A26,Cockpit!$L$26*B26)+Cockpit!$C$36*MAX(0,1-A26/40)</f>
        <v>568472.26698888466</v>
      </c>
      <c r="O26" s="89">
        <f t="shared" si="8"/>
        <v>268264.86073627474</v>
      </c>
      <c r="P26" s="89">
        <f t="shared" si="9"/>
        <v>20000</v>
      </c>
      <c r="Q26" s="89">
        <f>IF(A26&gt;Cockpit!$L$21,0,IF(A26=Cockpit!$L$21,K26+Cockpit!$L$33,K26))</f>
        <v>0</v>
      </c>
      <c r="R26" s="89">
        <f>IF(AND(A26&lt;=Cockpit!$F$42,Cockpit!$F$40="Ja"),Cockpit!$F$41*Cockpit!$F$44,0)</f>
        <v>0</v>
      </c>
      <c r="S26" s="93">
        <f>IF(Cockpit!$F$36="degressiv",MAX(0,MIN(0.05*(Cockpit!$F$37-O25+IF(A26&lt;=Cockpit!$F$42,(A26-1)*R26,0)),Cockpit!$F$37-O25-R26)),IF(OR(Cockpit!$F$40&lt;&gt;"Ja",Cockpit!$F$42&lt;=0,A26&lt;=Cockpit!$F$42),MIN(0.03*Cockpit!$F$37,MAX(0,Cockpit!$F$37-O25-R26)),MIN((Cockpit!$F$37-Cockpit!$F$42*(0.03*Cockpit!$F$37+Cockpit!$F$41*Cockpit!$F$44))/MAX(1,ROUNDDOWN(1/0.03,0)-Cockpit!$F$42),MAX(0,Cockpit!$F$37-O25-R26))))</f>
        <v>4882.1652244065917</v>
      </c>
      <c r="T26" s="89">
        <f>MIN(Cockpit!$F$45*Cockpit!$C$28,MAX(0,Cockpit!$C$28-P25))</f>
        <v>0</v>
      </c>
      <c r="U26" s="93">
        <f>IF(Cockpit!$F$46&gt;0,MIN(Cockpit!$C$24*Cockpit!$F$46,MAX(0,Cockpit!$C$24-V25)),0)</f>
        <v>0</v>
      </c>
      <c r="V26" s="89">
        <f t="shared" si="10"/>
        <v>0</v>
      </c>
      <c r="W26" s="89">
        <f>Y25*Cockpit!$F$15</f>
        <v>1967.801048179319</v>
      </c>
      <c r="X26" s="89">
        <f>MIN(Cockpit!$F$17-W26,Y25)</f>
        <v>4473.8669577227583</v>
      </c>
      <c r="Y26" s="89">
        <f t="shared" si="11"/>
        <v>75518.045569891838</v>
      </c>
      <c r="Z26" s="89">
        <f>AB25*Cockpit!$F$21</f>
        <v>6521.6159045089598</v>
      </c>
      <c r="AA26" s="89">
        <f>MIN(Cockpit!$F$23-Z26,AB25)</f>
        <v>8142.4168617003952</v>
      </c>
      <c r="AB26" s="89">
        <f t="shared" si="12"/>
        <v>154897.9807510236</v>
      </c>
      <c r="AC26" s="89">
        <f>IF(A26&gt;Cockpit!$L$21,0,K26)</f>
        <v>0</v>
      </c>
    </row>
    <row r="27" spans="1:29" ht="18" customHeight="1" x14ac:dyDescent="0.3">
      <c r="A27" s="91">
        <v>22</v>
      </c>
      <c r="B27" s="92">
        <f>Cockpit!$I$17*(1+Cockpit!$I$18)^(A27-1)</f>
        <v>30921.773715130355</v>
      </c>
      <c r="C27" s="90">
        <f>IF(Cockpit!$C$33="Ja",Cockpit!$I$22,0)</f>
        <v>561.6</v>
      </c>
      <c r="D27" s="90">
        <f>(Cockpit!$I$25*Cockpit!$I$9+IF(A27&lt;=15,Cockpit!$I$26,IF(A27&lt;=30,Cockpit!$I$27,Cockpit!$I$28))*Cockpit!$I$10+Cockpit!$I$29)*(1+Cockpit!$I$31)^(A27-1)+Cockpit!$I$30*B27</f>
        <v>3974.2400131953223</v>
      </c>
      <c r="E27" s="92">
        <f t="shared" si="0"/>
        <v>8053.6631510602838</v>
      </c>
      <c r="F27" s="92">
        <f t="shared" si="1"/>
        <v>13052.037621051148</v>
      </c>
      <c r="G27" s="90">
        <f t="shared" si="6"/>
        <v>6403.4329298236025</v>
      </c>
      <c r="H27" s="92">
        <f t="shared" si="2"/>
        <v>4638.0569631862627</v>
      </c>
      <c r="I27" s="92">
        <f t="shared" si="3"/>
        <v>14255.813587688488</v>
      </c>
      <c r="J27" s="92">
        <f>I27*Cockpit!$F$33</f>
        <v>6316.7510007047686</v>
      </c>
      <c r="K27" s="92">
        <f t="shared" si="4"/>
        <v>86.681929118833978</v>
      </c>
      <c r="L27" s="92">
        <f t="shared" si="7"/>
        <v>60925.78605964686</v>
      </c>
      <c r="M27" s="92">
        <f t="shared" si="5"/>
        <v>217363.98869986431</v>
      </c>
      <c r="N27" s="90">
        <f>MIN(Cockpit!$L$22*(1+Cockpit!$L$23)^A27,Cockpit!$L$26*B27)+Cockpit!$C$36*MAX(0,1-A27/40)</f>
        <v>573751.7946587737</v>
      </c>
      <c r="O27" s="93">
        <f t="shared" si="8"/>
        <v>272902.91769946099</v>
      </c>
      <c r="P27" s="93">
        <f t="shared" si="9"/>
        <v>20000</v>
      </c>
      <c r="Q27" s="89">
        <f>IF(A27&gt;Cockpit!$L$21,0,IF(A27=Cockpit!$L$21,K27+Cockpit!$L$33,K27))</f>
        <v>0</v>
      </c>
      <c r="R27" s="93">
        <f>IF(AND(A27&lt;=Cockpit!$F$42,Cockpit!$F$40="Ja"),Cockpit!$F$41*Cockpit!$F$44,0)</f>
        <v>0</v>
      </c>
      <c r="S27" s="93">
        <f>IF(Cockpit!$F$36="degressiv",MAX(0,MIN(0.05*(Cockpit!$F$37-O26+IF(A27&lt;=Cockpit!$F$42,(A27-1)*R27,0)),Cockpit!$F$37-O26-R27)),IF(OR(Cockpit!$F$40&lt;&gt;"Ja",Cockpit!$F$42&lt;=0,A27&lt;=Cockpit!$F$42),MIN(0.03*Cockpit!$F$37,MAX(0,Cockpit!$F$37-O26-R27)),MIN((Cockpit!$F$37-Cockpit!$F$42*(0.03*Cockpit!$F$37+Cockpit!$F$41*Cockpit!$F$44))/MAX(1,ROUNDDOWN(1/0.03,0)-Cockpit!$F$42),MAX(0,Cockpit!$F$37-O26-R27))))</f>
        <v>4638.0569631862627</v>
      </c>
      <c r="T27" s="93">
        <f>MIN(Cockpit!$F$45*Cockpit!$C$28,MAX(0,Cockpit!$C$28-P26))</f>
        <v>0</v>
      </c>
      <c r="U27" s="93">
        <f>IF(Cockpit!$F$46&gt;0,MIN(Cockpit!$C$24*Cockpit!$F$46,MAX(0,Cockpit!$C$24-V26)),0)</f>
        <v>0</v>
      </c>
      <c r="V27" s="93">
        <f t="shared" si="10"/>
        <v>0</v>
      </c>
      <c r="W27" s="93">
        <f>Y26*Cockpit!$F$15</f>
        <v>1857.7439210193393</v>
      </c>
      <c r="X27" s="93">
        <f>MIN(Cockpit!$F$17-W27,Y26)</f>
        <v>4583.9240848827376</v>
      </c>
      <c r="Y27" s="93">
        <f t="shared" si="11"/>
        <v>70934.121485009106</v>
      </c>
      <c r="Z27" s="93">
        <f>AB26*Cockpit!$F$21</f>
        <v>6195.9192300409441</v>
      </c>
      <c r="AA27" s="93">
        <f>MIN(Cockpit!$F$23-Z27,AB26)</f>
        <v>8468.1135361684101</v>
      </c>
      <c r="AB27" s="93">
        <f t="shared" si="12"/>
        <v>146429.86721485519</v>
      </c>
      <c r="AC27" s="89">
        <f>IF(A27&gt;Cockpit!$L$21,0,K27)</f>
        <v>0</v>
      </c>
    </row>
    <row r="28" spans="1:29" ht="18" customHeight="1" x14ac:dyDescent="0.3">
      <c r="A28" s="88">
        <v>23</v>
      </c>
      <c r="B28" s="90">
        <f>Cockpit!$I$17*(1+Cockpit!$I$18)^(A28-1)</f>
        <v>31694.818058008612</v>
      </c>
      <c r="C28" s="90">
        <f>IF(Cockpit!$C$33="Ja",Cockpit!$I$22,0)</f>
        <v>561.6</v>
      </c>
      <c r="D28" s="90">
        <f>(Cockpit!$I$25*Cockpit!$I$9+IF(A28&lt;=15,Cockpit!$I$26,IF(A28&lt;=30,Cockpit!$I$27,Cockpit!$I$28))*Cockpit!$I$10+Cockpit!$I$29)*(1+Cockpit!$I$31)^(A28-1)+Cockpit!$I$30*B28</f>
        <v>4073.5960135252049</v>
      </c>
      <c r="E28" s="90">
        <f t="shared" si="0"/>
        <v>7602.1740771254317</v>
      </c>
      <c r="F28" s="90">
        <f t="shared" si="1"/>
        <v>13503.526694986</v>
      </c>
      <c r="G28" s="90">
        <f t="shared" si="6"/>
        <v>7077.1212723719746</v>
      </c>
      <c r="H28" s="90">
        <f t="shared" si="2"/>
        <v>4406.1541150269504</v>
      </c>
      <c r="I28" s="90">
        <f t="shared" si="3"/>
        <v>15612.893852331024</v>
      </c>
      <c r="J28" s="90">
        <f>I28*Cockpit!$F$33</f>
        <v>6918.0732659678761</v>
      </c>
      <c r="K28" s="90">
        <f t="shared" si="4"/>
        <v>159.04800640409849</v>
      </c>
      <c r="L28" s="90">
        <f t="shared" si="7"/>
        <v>61084.834066050957</v>
      </c>
      <c r="M28" s="90">
        <f t="shared" si="5"/>
        <v>203860.46200487827</v>
      </c>
      <c r="N28" s="90">
        <f>MIN(Cockpit!$L$22*(1+Cockpit!$L$23)^A28,Cockpit!$L$26*B28)+Cockpit!$C$36*MAX(0,1-A28/40)</f>
        <v>579087.5226053613</v>
      </c>
      <c r="O28" s="89">
        <f t="shared" si="8"/>
        <v>277309.07181448792</v>
      </c>
      <c r="P28" s="89">
        <f t="shared" si="9"/>
        <v>20000</v>
      </c>
      <c r="Q28" s="89">
        <f>IF(A28&gt;Cockpit!$L$21,0,IF(A28=Cockpit!$L$21,K28+Cockpit!$L$33,K28))</f>
        <v>0</v>
      </c>
      <c r="R28" s="89">
        <f>IF(AND(A28&lt;=Cockpit!$F$42,Cockpit!$F$40="Ja"),Cockpit!$F$41*Cockpit!$F$44,0)</f>
        <v>0</v>
      </c>
      <c r="S28" s="93">
        <f>IF(Cockpit!$F$36="degressiv",MAX(0,MIN(0.05*(Cockpit!$F$37-O27+IF(A28&lt;=Cockpit!$F$42,(A28-1)*R28,0)),Cockpit!$F$37-O27-R28)),IF(OR(Cockpit!$F$40&lt;&gt;"Ja",Cockpit!$F$42&lt;=0,A28&lt;=Cockpit!$F$42),MIN(0.03*Cockpit!$F$37,MAX(0,Cockpit!$F$37-O27-R28)),MIN((Cockpit!$F$37-Cockpit!$F$42*(0.03*Cockpit!$F$37+Cockpit!$F$41*Cockpit!$F$44))/MAX(1,ROUNDDOWN(1/0.03,0)-Cockpit!$F$42),MAX(0,Cockpit!$F$37-O27-R28))))</f>
        <v>4406.1541150269504</v>
      </c>
      <c r="T28" s="89">
        <f>MIN(Cockpit!$F$45*Cockpit!$C$28,MAX(0,Cockpit!$C$28-P27))</f>
        <v>0</v>
      </c>
      <c r="U28" s="93">
        <f>IF(Cockpit!$F$46&gt;0,MIN(Cockpit!$C$24*Cockpit!$F$46,MAX(0,Cockpit!$C$24-V27)),0)</f>
        <v>0</v>
      </c>
      <c r="V28" s="89">
        <f t="shared" si="10"/>
        <v>0</v>
      </c>
      <c r="W28" s="89">
        <f>Y27*Cockpit!$F$15</f>
        <v>1744.979388531224</v>
      </c>
      <c r="X28" s="89">
        <f>MIN(Cockpit!$F$17-W28,Y27)</f>
        <v>4696.6886173708535</v>
      </c>
      <c r="Y28" s="89">
        <f t="shared" si="11"/>
        <v>66237.432867638257</v>
      </c>
      <c r="Z28" s="89">
        <f>AB27*Cockpit!$F$21</f>
        <v>5857.1946885942079</v>
      </c>
      <c r="AA28" s="89">
        <f>MIN(Cockpit!$F$23-Z28,AB27)</f>
        <v>8806.8380776151462</v>
      </c>
      <c r="AB28" s="89">
        <f t="shared" si="12"/>
        <v>137623.02913724002</v>
      </c>
      <c r="AC28" s="89">
        <f>IF(A28&gt;Cockpit!$L$21,0,K28)</f>
        <v>0</v>
      </c>
    </row>
    <row r="29" spans="1:29" ht="18" customHeight="1" x14ac:dyDescent="0.3">
      <c r="A29" s="91">
        <v>24</v>
      </c>
      <c r="B29" s="92">
        <f>Cockpit!$I$17*(1+Cockpit!$I$18)^(A29-1)</f>
        <v>32487.188509458829</v>
      </c>
      <c r="C29" s="90">
        <f>IF(Cockpit!$C$33="Ja",Cockpit!$I$22,0)</f>
        <v>561.6</v>
      </c>
      <c r="D29" s="90">
        <f>(Cockpit!$I$25*Cockpit!$I$9+IF(A29&lt;=15,Cockpit!$I$26,IF(A29&lt;=30,Cockpit!$I$27,Cockpit!$I$28))*Cockpit!$I$10+Cockpit!$I$29)*(1+Cockpit!$I$31)^(A29-1)+Cockpit!$I$30*B29</f>
        <v>4175.4359138633354</v>
      </c>
      <c r="E29" s="92">
        <f t="shared" si="0"/>
        <v>7134.3620140335024</v>
      </c>
      <c r="F29" s="92">
        <f t="shared" si="1"/>
        <v>13971.338758077931</v>
      </c>
      <c r="G29" s="90">
        <f t="shared" si="6"/>
        <v>7767.6518234840551</v>
      </c>
      <c r="H29" s="92">
        <f t="shared" si="2"/>
        <v>4185.8464092756039</v>
      </c>
      <c r="I29" s="92">
        <f t="shared" si="3"/>
        <v>16991.544172286383</v>
      </c>
      <c r="J29" s="92">
        <f>I29*Cockpit!$F$33</f>
        <v>7528.953222740095</v>
      </c>
      <c r="K29" s="92">
        <f t="shared" si="4"/>
        <v>238.69860074396001</v>
      </c>
      <c r="L29" s="92">
        <f t="shared" si="7"/>
        <v>61323.532666794919</v>
      </c>
      <c r="M29" s="92">
        <f t="shared" si="5"/>
        <v>189889.12324680036</v>
      </c>
      <c r="N29" s="90">
        <f>MIN(Cockpit!$L$22*(1+Cockpit!$L$23)^A29,Cockpit!$L$26*B29)+Cockpit!$C$36*MAX(0,1-A29/40)</f>
        <v>584480.01283141505</v>
      </c>
      <c r="O29" s="93">
        <f t="shared" si="8"/>
        <v>281494.91822376353</v>
      </c>
      <c r="P29" s="93">
        <f t="shared" si="9"/>
        <v>20000</v>
      </c>
      <c r="Q29" s="89">
        <f>IF(A29&gt;Cockpit!$L$21,0,IF(A29=Cockpit!$L$21,K29+Cockpit!$L$33,K29))</f>
        <v>0</v>
      </c>
      <c r="R29" s="93">
        <f>IF(AND(A29&lt;=Cockpit!$F$42,Cockpit!$F$40="Ja"),Cockpit!$F$41*Cockpit!$F$44,0)</f>
        <v>0</v>
      </c>
      <c r="S29" s="93">
        <f>IF(Cockpit!$F$36="degressiv",MAX(0,MIN(0.05*(Cockpit!$F$37-O28+IF(A29&lt;=Cockpit!$F$42,(A29-1)*R29,0)),Cockpit!$F$37-O28-R29)),IF(OR(Cockpit!$F$40&lt;&gt;"Ja",Cockpit!$F$42&lt;=0,A29&lt;=Cockpit!$F$42),MIN(0.03*Cockpit!$F$37,MAX(0,Cockpit!$F$37-O28-R29)),MIN((Cockpit!$F$37-Cockpit!$F$42*(0.03*Cockpit!$F$37+Cockpit!$F$41*Cockpit!$F$44))/MAX(1,ROUNDDOWN(1/0.03,0)-Cockpit!$F$42),MAX(0,Cockpit!$F$37-O28-R29))))</f>
        <v>4185.8464092756039</v>
      </c>
      <c r="T29" s="93">
        <f>MIN(Cockpit!$F$45*Cockpit!$C$28,MAX(0,Cockpit!$C$28-P28))</f>
        <v>0</v>
      </c>
      <c r="U29" s="93">
        <f>IF(Cockpit!$F$46&gt;0,MIN(Cockpit!$C$24*Cockpit!$F$46,MAX(0,Cockpit!$C$24-V28)),0)</f>
        <v>0</v>
      </c>
      <c r="V29" s="93">
        <f t="shared" si="10"/>
        <v>0</v>
      </c>
      <c r="W29" s="93">
        <f>Y28*Cockpit!$F$15</f>
        <v>1629.4408485439012</v>
      </c>
      <c r="X29" s="93">
        <f>MIN(Cockpit!$F$17-W29,Y28)</f>
        <v>4812.2271573581766</v>
      </c>
      <c r="Y29" s="93">
        <f t="shared" si="11"/>
        <v>61425.205710280083</v>
      </c>
      <c r="Z29" s="93">
        <f>AB28*Cockpit!$F$21</f>
        <v>5504.9211654896008</v>
      </c>
      <c r="AA29" s="93">
        <f>MIN(Cockpit!$F$23-Z29,AB28)</f>
        <v>9159.1116007197543</v>
      </c>
      <c r="AB29" s="93">
        <f t="shared" si="12"/>
        <v>128463.91753652027</v>
      </c>
      <c r="AC29" s="89">
        <f>IF(A29&gt;Cockpit!$L$21,0,K29)</f>
        <v>0</v>
      </c>
    </row>
    <row r="30" spans="1:29" ht="18" customHeight="1" x14ac:dyDescent="0.3">
      <c r="A30" s="88">
        <v>25</v>
      </c>
      <c r="B30" s="90">
        <f>Cockpit!$I$17*(1+Cockpit!$I$18)^(A30-1)</f>
        <v>33299.368222195299</v>
      </c>
      <c r="C30" s="90">
        <f>IF(Cockpit!$C$33="Ja",Cockpit!$I$22,0)</f>
        <v>561.6</v>
      </c>
      <c r="D30" s="90">
        <f>(Cockpit!$I$25*Cockpit!$I$9+IF(A30&lt;=15,Cockpit!$I$26,IF(A30&lt;=30,Cockpit!$I$27,Cockpit!$I$28))*Cockpit!$I$10+Cockpit!$I$29)*(1+Cockpit!$I$31)^(A30-1)+Cockpit!$I$30*B30</f>
        <v>4279.8218117099186</v>
      </c>
      <c r="E30" s="90">
        <f t="shared" si="0"/>
        <v>6649.6167619337002</v>
      </c>
      <c r="F30" s="90">
        <f t="shared" si="1"/>
        <v>14456.084010177732</v>
      </c>
      <c r="G30" s="90">
        <f t="shared" si="6"/>
        <v>8475.4456383739489</v>
      </c>
      <c r="H30" s="90">
        <f t="shared" si="2"/>
        <v>3976.5540888118239</v>
      </c>
      <c r="I30" s="90">
        <f t="shared" si="3"/>
        <v>18393.375559739859</v>
      </c>
      <c r="J30" s="90">
        <f>I30*Cockpit!$F$33</f>
        <v>8150.1047105207308</v>
      </c>
      <c r="K30" s="90">
        <f t="shared" si="4"/>
        <v>325.34092785321809</v>
      </c>
      <c r="L30" s="90">
        <f t="shared" si="7"/>
        <v>61648.873594648139</v>
      </c>
      <c r="M30" s="90">
        <f t="shared" si="5"/>
        <v>175433.0392366226</v>
      </c>
      <c r="N30" s="90">
        <f>MIN(Cockpit!$L$22*(1+Cockpit!$L$23)^A30,Cockpit!$L$26*B30)+Cockpit!$C$36*MAX(0,1-A30/40)</f>
        <v>589929.83295972925</v>
      </c>
      <c r="O30" s="89">
        <f t="shared" si="8"/>
        <v>285471.47231257532</v>
      </c>
      <c r="P30" s="89">
        <f t="shared" si="9"/>
        <v>20000</v>
      </c>
      <c r="Q30" s="89">
        <f>IF(A30&gt;Cockpit!$L$21,0,IF(A30=Cockpit!$L$21,K30+Cockpit!$L$33,K30))</f>
        <v>0</v>
      </c>
      <c r="R30" s="89">
        <f>IF(AND(A30&lt;=Cockpit!$F$42,Cockpit!$F$40="Ja"),Cockpit!$F$41*Cockpit!$F$44,0)</f>
        <v>0</v>
      </c>
      <c r="S30" s="93">
        <f>IF(Cockpit!$F$36="degressiv",MAX(0,MIN(0.05*(Cockpit!$F$37-O29+IF(A30&lt;=Cockpit!$F$42,(A30-1)*R30,0)),Cockpit!$F$37-O29-R30)),IF(OR(Cockpit!$F$40&lt;&gt;"Ja",Cockpit!$F$42&lt;=0,A30&lt;=Cockpit!$F$42),MIN(0.03*Cockpit!$F$37,MAX(0,Cockpit!$F$37-O29-R30)),MIN((Cockpit!$F$37-Cockpit!$F$42*(0.03*Cockpit!$F$37+Cockpit!$F$41*Cockpit!$F$44))/MAX(1,ROUNDDOWN(1/0.03,0)-Cockpit!$F$42),MAX(0,Cockpit!$F$37-O29-R30))))</f>
        <v>3976.5540888118239</v>
      </c>
      <c r="T30" s="89">
        <f>MIN(Cockpit!$F$45*Cockpit!$C$28,MAX(0,Cockpit!$C$28-P29))</f>
        <v>0</v>
      </c>
      <c r="U30" s="93">
        <f>IF(Cockpit!$F$46&gt;0,MIN(Cockpit!$C$24*Cockpit!$F$46,MAX(0,Cockpit!$C$24-V29)),0)</f>
        <v>0</v>
      </c>
      <c r="V30" s="89">
        <f t="shared" si="10"/>
        <v>0</v>
      </c>
      <c r="W30" s="89">
        <f>Y29*Cockpit!$F$15</f>
        <v>1511.06006047289</v>
      </c>
      <c r="X30" s="89">
        <f>MIN(Cockpit!$F$17-W30,Y29)</f>
        <v>4930.6079454291876</v>
      </c>
      <c r="Y30" s="89">
        <f t="shared" si="11"/>
        <v>56494.597764850892</v>
      </c>
      <c r="Z30" s="89">
        <f>AB29*Cockpit!$F$21</f>
        <v>5138.5567014608105</v>
      </c>
      <c r="AA30" s="89">
        <f>MIN(Cockpit!$F$23-Z30,AB29)</f>
        <v>9525.4760647485455</v>
      </c>
      <c r="AB30" s="89">
        <f t="shared" si="12"/>
        <v>118938.44147177172</v>
      </c>
      <c r="AC30" s="89">
        <f>IF(A30&gt;Cockpit!$L$21,0,K30)</f>
        <v>0</v>
      </c>
    </row>
    <row r="31" spans="1:29" ht="18" customHeight="1" x14ac:dyDescent="0.3">
      <c r="A31" s="91">
        <v>26</v>
      </c>
      <c r="B31" s="92">
        <f>Cockpit!$I$17*(1+Cockpit!$I$18)^(A31-1)</f>
        <v>34131.852427750171</v>
      </c>
      <c r="C31" s="90">
        <f>IF(Cockpit!$C$33="Ja",Cockpit!$I$22,0)</f>
        <v>561.6</v>
      </c>
      <c r="D31" s="90">
        <f>(Cockpit!$I$25*Cockpit!$I$9+IF(A31&lt;=15,Cockpit!$I$26,IF(A31&lt;=30,Cockpit!$I$27,Cockpit!$I$28))*Cockpit!$I$10+Cockpit!$I$29)*(1+Cockpit!$I$31)^(A31-1)+Cockpit!$I$30*B31</f>
        <v>4386.8173570026656</v>
      </c>
      <c r="E31" s="92">
        <f t="shared" si="0"/>
        <v>6147.3047638862008</v>
      </c>
      <c r="F31" s="92">
        <f t="shared" si="1"/>
        <v>14958.396008225232</v>
      </c>
      <c r="G31" s="90">
        <f t="shared" si="6"/>
        <v>9200.9342986360698</v>
      </c>
      <c r="H31" s="92">
        <f t="shared" si="2"/>
        <v>3777.726384371234</v>
      </c>
      <c r="I31" s="92">
        <f t="shared" si="3"/>
        <v>19820.003922490068</v>
      </c>
      <c r="J31" s="92">
        <f>I31*Cockpit!$F$33</f>
        <v>8782.2437380553474</v>
      </c>
      <c r="K31" s="92">
        <f t="shared" si="4"/>
        <v>418.69056058072238</v>
      </c>
      <c r="L31" s="92">
        <f t="shared" si="7"/>
        <v>62067.564155228858</v>
      </c>
      <c r="M31" s="92">
        <f t="shared" si="5"/>
        <v>160474.64322839738</v>
      </c>
      <c r="N31" s="90">
        <f>MIN(Cockpit!$L$22*(1+Cockpit!$L$23)^A31,Cockpit!$L$26*B31)+Cockpit!$C$36*MAX(0,1-A31/40)</f>
        <v>595437.55628932652</v>
      </c>
      <c r="O31" s="93">
        <f t="shared" si="8"/>
        <v>289249.19869694655</v>
      </c>
      <c r="P31" s="93">
        <f t="shared" si="9"/>
        <v>20000</v>
      </c>
      <c r="Q31" s="89">
        <f>IF(A31&gt;Cockpit!$L$21,0,IF(A31=Cockpit!$L$21,K31+Cockpit!$L$33,K31))</f>
        <v>0</v>
      </c>
      <c r="R31" s="93">
        <f>IF(AND(A31&lt;=Cockpit!$F$42,Cockpit!$F$40="Ja"),Cockpit!$F$41*Cockpit!$F$44,0)</f>
        <v>0</v>
      </c>
      <c r="S31" s="93">
        <f>IF(Cockpit!$F$36="degressiv",MAX(0,MIN(0.05*(Cockpit!$F$37-O30+IF(A31&lt;=Cockpit!$F$42,(A31-1)*R31,0)),Cockpit!$F$37-O30-R31)),IF(OR(Cockpit!$F$40&lt;&gt;"Ja",Cockpit!$F$42&lt;=0,A31&lt;=Cockpit!$F$42),MIN(0.03*Cockpit!$F$37,MAX(0,Cockpit!$F$37-O30-R31)),MIN((Cockpit!$F$37-Cockpit!$F$42*(0.03*Cockpit!$F$37+Cockpit!$F$41*Cockpit!$F$44))/MAX(1,ROUNDDOWN(1/0.03,0)-Cockpit!$F$42),MAX(0,Cockpit!$F$37-O30-R31))))</f>
        <v>3777.726384371234</v>
      </c>
      <c r="T31" s="93">
        <f>MIN(Cockpit!$F$45*Cockpit!$C$28,MAX(0,Cockpit!$C$28-P30))</f>
        <v>0</v>
      </c>
      <c r="U31" s="93">
        <f>IF(Cockpit!$F$46&gt;0,MIN(Cockpit!$C$24*Cockpit!$F$46,MAX(0,Cockpit!$C$24-V30)),0)</f>
        <v>0</v>
      </c>
      <c r="V31" s="93">
        <f t="shared" si="10"/>
        <v>0</v>
      </c>
      <c r="W31" s="93">
        <f>Y30*Cockpit!$F$15</f>
        <v>1389.7671050153319</v>
      </c>
      <c r="X31" s="93">
        <f>MIN(Cockpit!$F$17-W31,Y30)</f>
        <v>5051.9009008867451</v>
      </c>
      <c r="Y31" s="93">
        <f t="shared" si="11"/>
        <v>51442.696863964149</v>
      </c>
      <c r="Z31" s="93">
        <f>AB30*Cockpit!$F$21</f>
        <v>4757.5376588708687</v>
      </c>
      <c r="AA31" s="93">
        <f>MIN(Cockpit!$F$23-Z31,AB30)</f>
        <v>9906.4951073384873</v>
      </c>
      <c r="AB31" s="93">
        <f t="shared" si="12"/>
        <v>109031.94636443323</v>
      </c>
      <c r="AC31" s="89">
        <f>IF(A31&gt;Cockpit!$L$21,0,K31)</f>
        <v>0</v>
      </c>
    </row>
    <row r="32" spans="1:29" ht="18" customHeight="1" x14ac:dyDescent="0.3">
      <c r="A32" s="88">
        <v>27</v>
      </c>
      <c r="B32" s="90">
        <f>Cockpit!$I$17*(1+Cockpit!$I$18)^(A32-1)</f>
        <v>34985.148738443924</v>
      </c>
      <c r="C32" s="90">
        <f>IF(Cockpit!$C$33="Ja",Cockpit!$I$22,0)</f>
        <v>561.6</v>
      </c>
      <c r="D32" s="90">
        <f>(Cockpit!$I$25*Cockpit!$I$9+IF(A32&lt;=15,Cockpit!$I$26,IF(A32&lt;=30,Cockpit!$I$27,Cockpit!$I$28))*Cockpit!$I$10+Cockpit!$I$29)*(1+Cockpit!$I$31)^(A32-1)+Cockpit!$I$30*B32</f>
        <v>4496.487790927732</v>
      </c>
      <c r="E32" s="90">
        <f t="shared" si="0"/>
        <v>5626.7681974308471</v>
      </c>
      <c r="F32" s="90">
        <f t="shared" si="1"/>
        <v>15478.932574680584</v>
      </c>
      <c r="G32" s="90">
        <f t="shared" si="6"/>
        <v>9944.5601754047602</v>
      </c>
      <c r="H32" s="90">
        <f t="shared" si="2"/>
        <v>3588.8400651526727</v>
      </c>
      <c r="I32" s="90">
        <f t="shared" si="3"/>
        <v>21273.052684932674</v>
      </c>
      <c r="J32" s="90">
        <f>I32*Cockpit!$F$33</f>
        <v>9426.0896446936658</v>
      </c>
      <c r="K32" s="90">
        <f t="shared" si="4"/>
        <v>518.4705307110944</v>
      </c>
      <c r="L32" s="90">
        <f t="shared" si="7"/>
        <v>62586.034685939951</v>
      </c>
      <c r="M32" s="90">
        <f t="shared" si="5"/>
        <v>144995.71065371679</v>
      </c>
      <c r="N32" s="90">
        <f>MIN(Cockpit!$L$22*(1+Cockpit!$L$23)^A32,Cockpit!$L$26*B32)+Cockpit!$C$36*MAX(0,1-A32/40)</f>
        <v>601003.76185221958</v>
      </c>
      <c r="O32" s="89">
        <f t="shared" si="8"/>
        <v>292838.03876209923</v>
      </c>
      <c r="P32" s="89">
        <f t="shared" si="9"/>
        <v>20000</v>
      </c>
      <c r="Q32" s="89">
        <f>IF(A32&gt;Cockpit!$L$21,0,IF(A32=Cockpit!$L$21,K32+Cockpit!$L$33,K32))</f>
        <v>0</v>
      </c>
      <c r="R32" s="89">
        <f>IF(AND(A32&lt;=Cockpit!$F$42,Cockpit!$F$40="Ja"),Cockpit!$F$41*Cockpit!$F$44,0)</f>
        <v>0</v>
      </c>
      <c r="S32" s="93">
        <f>IF(Cockpit!$F$36="degressiv",MAX(0,MIN(0.05*(Cockpit!$F$37-O31+IF(A32&lt;=Cockpit!$F$42,(A32-1)*R32,0)),Cockpit!$F$37-O31-R32)),IF(OR(Cockpit!$F$40&lt;&gt;"Ja",Cockpit!$F$42&lt;=0,A32&lt;=Cockpit!$F$42),MIN(0.03*Cockpit!$F$37,MAX(0,Cockpit!$F$37-O31-R32)),MIN((Cockpit!$F$37-Cockpit!$F$42*(0.03*Cockpit!$F$37+Cockpit!$F$41*Cockpit!$F$44))/MAX(1,ROUNDDOWN(1/0.03,0)-Cockpit!$F$42),MAX(0,Cockpit!$F$37-O31-R32))))</f>
        <v>3588.8400651526727</v>
      </c>
      <c r="T32" s="89">
        <f>MIN(Cockpit!$F$45*Cockpit!$C$28,MAX(0,Cockpit!$C$28-P31))</f>
        <v>0</v>
      </c>
      <c r="U32" s="93">
        <f>IF(Cockpit!$F$46&gt;0,MIN(Cockpit!$C$24*Cockpit!$F$46,MAX(0,Cockpit!$C$24-V31)),0)</f>
        <v>0</v>
      </c>
      <c r="V32" s="89">
        <f t="shared" si="10"/>
        <v>0</v>
      </c>
      <c r="W32" s="89">
        <f>Y31*Cockpit!$F$15</f>
        <v>1265.4903428535181</v>
      </c>
      <c r="X32" s="89">
        <f>MIN(Cockpit!$F$17-W32,Y31)</f>
        <v>5176.1776630485592</v>
      </c>
      <c r="Y32" s="89">
        <f t="shared" si="11"/>
        <v>46266.519200915587</v>
      </c>
      <c r="Z32" s="89">
        <f>AB31*Cockpit!$F$21</f>
        <v>4361.277854577329</v>
      </c>
      <c r="AA32" s="89">
        <f>MIN(Cockpit!$F$23-Z32,AB31)</f>
        <v>10302.754911632026</v>
      </c>
      <c r="AB32" s="89">
        <f t="shared" si="12"/>
        <v>98729.191452801198</v>
      </c>
      <c r="AC32" s="89">
        <f>IF(A32&gt;Cockpit!$L$21,0,K32)</f>
        <v>0</v>
      </c>
    </row>
    <row r="33" spans="1:29" ht="18" customHeight="1" x14ac:dyDescent="0.3">
      <c r="A33" s="91">
        <v>28</v>
      </c>
      <c r="B33" s="92">
        <f>Cockpit!$I$17*(1+Cockpit!$I$18)^(A33-1)</f>
        <v>35859.777456905023</v>
      </c>
      <c r="C33" s="90">
        <f>IF(Cockpit!$C$33="Ja",Cockpit!$I$22,0)</f>
        <v>561.6</v>
      </c>
      <c r="D33" s="90">
        <f>(Cockpit!$I$25*Cockpit!$I$9+IF(A33&lt;=15,Cockpit!$I$26,IF(A33&lt;=30,Cockpit!$I$27,Cockpit!$I$28))*Cockpit!$I$10+Cockpit!$I$29)*(1+Cockpit!$I$31)^(A33-1)+Cockpit!$I$30*B33</f>
        <v>4608.8999857009258</v>
      </c>
      <c r="E33" s="92">
        <f t="shared" si="0"/>
        <v>5087.3240304545716</v>
      </c>
      <c r="F33" s="92">
        <f t="shared" si="1"/>
        <v>16018.376741656861</v>
      </c>
      <c r="G33" s="90">
        <f t="shared" si="6"/>
        <v>10706.776699092663</v>
      </c>
      <c r="H33" s="92">
        <f t="shared" si="2"/>
        <v>3409.3980618950391</v>
      </c>
      <c r="I33" s="92">
        <f t="shared" si="3"/>
        <v>22754.155378854484</v>
      </c>
      <c r="J33" s="92">
        <f>I33*Cockpit!$F$33</f>
        <v>10082.366248370421</v>
      </c>
      <c r="K33" s="92">
        <f t="shared" si="4"/>
        <v>624.41045072224188</v>
      </c>
      <c r="L33" s="92">
        <f t="shared" si="7"/>
        <v>63210.445136662194</v>
      </c>
      <c r="M33" s="92">
        <f t="shared" si="5"/>
        <v>128977.33391205993</v>
      </c>
      <c r="N33" s="90">
        <f>MIN(Cockpit!$L$22*(1+Cockpit!$L$23)^A33,Cockpit!$L$26*B33)+Cockpit!$C$36*MAX(0,1-A33/40)</f>
        <v>606629.03447074187</v>
      </c>
      <c r="O33" s="93">
        <f t="shared" si="8"/>
        <v>296247.43682399427</v>
      </c>
      <c r="P33" s="93">
        <f t="shared" si="9"/>
        <v>20000</v>
      </c>
      <c r="Q33" s="89">
        <f>IF(A33&gt;Cockpit!$L$21,0,IF(A33=Cockpit!$L$21,K33+Cockpit!$L$33,K33))</f>
        <v>0</v>
      </c>
      <c r="R33" s="93">
        <f>IF(AND(A33&lt;=Cockpit!$F$42,Cockpit!$F$40="Ja"),Cockpit!$F$41*Cockpit!$F$44,0)</f>
        <v>0</v>
      </c>
      <c r="S33" s="93">
        <f>IF(Cockpit!$F$36="degressiv",MAX(0,MIN(0.05*(Cockpit!$F$37-O32+IF(A33&lt;=Cockpit!$F$42,(A33-1)*R33,0)),Cockpit!$F$37-O32-R33)),IF(OR(Cockpit!$F$40&lt;&gt;"Ja",Cockpit!$F$42&lt;=0,A33&lt;=Cockpit!$F$42),MIN(0.03*Cockpit!$F$37,MAX(0,Cockpit!$F$37-O32-R33)),MIN((Cockpit!$F$37-Cockpit!$F$42*(0.03*Cockpit!$F$37+Cockpit!$F$41*Cockpit!$F$44))/MAX(1,ROUNDDOWN(1/0.03,0)-Cockpit!$F$42),MAX(0,Cockpit!$F$37-O32-R33))))</f>
        <v>3409.3980618950391</v>
      </c>
      <c r="T33" s="93">
        <f>MIN(Cockpit!$F$45*Cockpit!$C$28,MAX(0,Cockpit!$C$28-P32))</f>
        <v>0</v>
      </c>
      <c r="U33" s="93">
        <f>IF(Cockpit!$F$46&gt;0,MIN(Cockpit!$C$24*Cockpit!$F$46,MAX(0,Cockpit!$C$24-V32)),0)</f>
        <v>0</v>
      </c>
      <c r="V33" s="93">
        <f t="shared" si="10"/>
        <v>0</v>
      </c>
      <c r="W33" s="93">
        <f>Y32*Cockpit!$F$15</f>
        <v>1138.1563723425234</v>
      </c>
      <c r="X33" s="93">
        <f>MIN(Cockpit!$F$17-W33,Y32)</f>
        <v>5303.511633559554</v>
      </c>
      <c r="Y33" s="93">
        <f t="shared" si="11"/>
        <v>40963.007567356035</v>
      </c>
      <c r="Z33" s="93">
        <f>AB32*Cockpit!$F$21</f>
        <v>3949.1676581120482</v>
      </c>
      <c r="AA33" s="93">
        <f>MIN(Cockpit!$F$23-Z33,AB32)</f>
        <v>10714.865108097307</v>
      </c>
      <c r="AB33" s="93">
        <f t="shared" si="12"/>
        <v>88014.326344703892</v>
      </c>
      <c r="AC33" s="89">
        <f>IF(A33&gt;Cockpit!$L$21,0,K33)</f>
        <v>0</v>
      </c>
    </row>
    <row r="34" spans="1:29" ht="18" customHeight="1" x14ac:dyDescent="0.3">
      <c r="A34" s="88">
        <v>29</v>
      </c>
      <c r="B34" s="90">
        <f>Cockpit!$I$17*(1+Cockpit!$I$18)^(A34-1)</f>
        <v>36756.271893327648</v>
      </c>
      <c r="C34" s="90">
        <f>IF(Cockpit!$C$33="Ja",Cockpit!$I$22,0)</f>
        <v>561.6</v>
      </c>
      <c r="D34" s="90">
        <f>(Cockpit!$I$25*Cockpit!$I$9+IF(A34&lt;=15,Cockpit!$I$26,IF(A34&lt;=30,Cockpit!$I$27,Cockpit!$I$28))*Cockpit!$I$10+Cockpit!$I$29)*(1+Cockpit!$I$31)^(A34-1)+Cockpit!$I$30*B34</f>
        <v>4724.1224853434478</v>
      </c>
      <c r="E34" s="90">
        <f t="shared" si="0"/>
        <v>4528.2630399451145</v>
      </c>
      <c r="F34" s="90">
        <f t="shared" si="1"/>
        <v>16577.43773216632</v>
      </c>
      <c r="G34" s="90">
        <f t="shared" si="6"/>
        <v>11488.048635872765</v>
      </c>
      <c r="H34" s="90">
        <f t="shared" si="2"/>
        <v>3238.9281588002868</v>
      </c>
      <c r="I34" s="90">
        <f t="shared" si="3"/>
        <v>24264.958209238801</v>
      </c>
      <c r="J34" s="90">
        <f>I34*Cockpit!$F$33</f>
        <v>10751.802982513711</v>
      </c>
      <c r="K34" s="90">
        <f t="shared" si="4"/>
        <v>736.2456533590539</v>
      </c>
      <c r="L34" s="90">
        <f t="shared" si="7"/>
        <v>63946.690790021246</v>
      </c>
      <c r="M34" s="90">
        <f t="shared" si="5"/>
        <v>112399.89617989361</v>
      </c>
      <c r="N34" s="90">
        <f>MIN(Cockpit!$L$22*(1+Cockpit!$L$23)^A34,Cockpit!$L$26*B34)+Cockpit!$C$36*MAX(0,1-A34/40)</f>
        <v>612313.96481544932</v>
      </c>
      <c r="O34" s="89">
        <f t="shared" si="8"/>
        <v>299486.36498279456</v>
      </c>
      <c r="P34" s="89">
        <f t="shared" si="9"/>
        <v>20000</v>
      </c>
      <c r="Q34" s="89">
        <f>IF(A34&gt;Cockpit!$L$21,0,IF(A34=Cockpit!$L$21,K34+Cockpit!$L$33,K34))</f>
        <v>0</v>
      </c>
      <c r="R34" s="89">
        <f>IF(AND(A34&lt;=Cockpit!$F$42,Cockpit!$F$40="Ja"),Cockpit!$F$41*Cockpit!$F$44,0)</f>
        <v>0</v>
      </c>
      <c r="S34" s="93">
        <f>IF(Cockpit!$F$36="degressiv",MAX(0,MIN(0.05*(Cockpit!$F$37-O33+IF(A34&lt;=Cockpit!$F$42,(A34-1)*R34,0)),Cockpit!$F$37-O33-R34)),IF(OR(Cockpit!$F$40&lt;&gt;"Ja",Cockpit!$F$42&lt;=0,A34&lt;=Cockpit!$F$42),MIN(0.03*Cockpit!$F$37,MAX(0,Cockpit!$F$37-O33-R34)),MIN((Cockpit!$F$37-Cockpit!$F$42*(0.03*Cockpit!$F$37+Cockpit!$F$41*Cockpit!$F$44))/MAX(1,ROUNDDOWN(1/0.03,0)-Cockpit!$F$42),MAX(0,Cockpit!$F$37-O33-R34))))</f>
        <v>3238.9281588002868</v>
      </c>
      <c r="T34" s="89">
        <f>MIN(Cockpit!$F$45*Cockpit!$C$28,MAX(0,Cockpit!$C$28-P33))</f>
        <v>0</v>
      </c>
      <c r="U34" s="93">
        <f>IF(Cockpit!$F$46&gt;0,MIN(Cockpit!$C$24*Cockpit!$F$46,MAX(0,Cockpit!$C$24-V33)),0)</f>
        <v>0</v>
      </c>
      <c r="V34" s="89">
        <f t="shared" si="10"/>
        <v>0</v>
      </c>
      <c r="W34" s="89">
        <f>Y33*Cockpit!$F$15</f>
        <v>1007.6899861569585</v>
      </c>
      <c r="X34" s="89">
        <f>MIN(Cockpit!$F$17-W34,Y33)</f>
        <v>5433.9780197451191</v>
      </c>
      <c r="Y34" s="89">
        <f t="shared" si="11"/>
        <v>35529.029547610917</v>
      </c>
      <c r="Z34" s="89">
        <f>AB33*Cockpit!$F$21</f>
        <v>3520.5730537881559</v>
      </c>
      <c r="AA34" s="89">
        <f>MIN(Cockpit!$F$23-Z34,AB33)</f>
        <v>11143.4597124212</v>
      </c>
      <c r="AB34" s="89">
        <f t="shared" si="12"/>
        <v>76870.86663228269</v>
      </c>
      <c r="AC34" s="89">
        <f>IF(A34&gt;Cockpit!$L$21,0,K34)</f>
        <v>0</v>
      </c>
    </row>
    <row r="35" spans="1:29" ht="18" customHeight="1" x14ac:dyDescent="0.3">
      <c r="A35" s="91">
        <v>30</v>
      </c>
      <c r="B35" s="92">
        <f>Cockpit!$I$17*(1+Cockpit!$I$18)^(A35-1)</f>
        <v>37675.178690660839</v>
      </c>
      <c r="C35" s="90">
        <f>IF(Cockpit!$C$33="Ja",Cockpit!$I$22,0)</f>
        <v>561.6</v>
      </c>
      <c r="D35" s="90">
        <f>(Cockpit!$I$25*Cockpit!$I$9+IF(A35&lt;=15,Cockpit!$I$26,IF(A35&lt;=30,Cockpit!$I$27,Cockpit!$I$28))*Cockpit!$I$10+Cockpit!$I$29)*(1+Cockpit!$I$31)^(A35-1)+Cockpit!$I$30*B35</f>
        <v>4842.2255474770345</v>
      </c>
      <c r="E35" s="92">
        <f t="shared" si="0"/>
        <v>3948.8487921625365</v>
      </c>
      <c r="F35" s="92">
        <f t="shared" si="1"/>
        <v>17156.851979948897</v>
      </c>
      <c r="G35" s="90">
        <f t="shared" si="6"/>
        <v>12288.852371072371</v>
      </c>
      <c r="H35" s="92">
        <f t="shared" si="2"/>
        <v>3076.9817508602719</v>
      </c>
      <c r="I35" s="92">
        <f t="shared" si="3"/>
        <v>25807.122600160998</v>
      </c>
      <c r="J35" s="92">
        <f>I35*Cockpit!$F$33</f>
        <v>11435.136024131336</v>
      </c>
      <c r="K35" s="92">
        <f t="shared" si="4"/>
        <v>853.71634694103523</v>
      </c>
      <c r="L35" s="92">
        <f t="shared" si="7"/>
        <v>64800.407136962283</v>
      </c>
      <c r="M35" s="92">
        <f t="shared" si="5"/>
        <v>95243.044199944707</v>
      </c>
      <c r="N35" s="90">
        <f>MIN(Cockpit!$L$22*(1+Cockpit!$L$23)^A35,Cockpit!$L$26*B35)+Cockpit!$C$36*MAX(0,1-A35/40)</f>
        <v>618059.14946360397</v>
      </c>
      <c r="O35" s="93">
        <f t="shared" si="8"/>
        <v>302563.34673365485</v>
      </c>
      <c r="P35" s="93">
        <f t="shared" si="9"/>
        <v>20000</v>
      </c>
      <c r="Q35" s="89">
        <f>IF(A35&gt;Cockpit!$L$21,0,IF(A35=Cockpit!$L$21,K35+Cockpit!$L$33,K35))</f>
        <v>0</v>
      </c>
      <c r="R35" s="93">
        <f>IF(AND(A35&lt;=Cockpit!$F$42,Cockpit!$F$40="Ja"),Cockpit!$F$41*Cockpit!$F$44,0)</f>
        <v>0</v>
      </c>
      <c r="S35" s="93">
        <f>IF(Cockpit!$F$36="degressiv",MAX(0,MIN(0.05*(Cockpit!$F$37-O34+IF(A35&lt;=Cockpit!$F$42,(A35-1)*R35,0)),Cockpit!$F$37-O34-R35)),IF(OR(Cockpit!$F$40&lt;&gt;"Ja",Cockpit!$F$42&lt;=0,A35&lt;=Cockpit!$F$42),MIN(0.03*Cockpit!$F$37,MAX(0,Cockpit!$F$37-O34-R35)),MIN((Cockpit!$F$37-Cockpit!$F$42*(0.03*Cockpit!$F$37+Cockpit!$F$41*Cockpit!$F$44))/MAX(1,ROUNDDOWN(1/0.03,0)-Cockpit!$F$42),MAX(0,Cockpit!$F$37-O34-R35))))</f>
        <v>3076.9817508602719</v>
      </c>
      <c r="T35" s="93">
        <f>MIN(Cockpit!$F$45*Cockpit!$C$28,MAX(0,Cockpit!$C$28-P34))</f>
        <v>0</v>
      </c>
      <c r="U35" s="93">
        <f>IF(Cockpit!$F$46&gt;0,MIN(Cockpit!$C$24*Cockpit!$F$46,MAX(0,Cockpit!$C$24-V34)),0)</f>
        <v>0</v>
      </c>
      <c r="V35" s="93">
        <f t="shared" si="10"/>
        <v>0</v>
      </c>
      <c r="W35" s="93">
        <f>Y34*Cockpit!$F$15</f>
        <v>874.01412687122854</v>
      </c>
      <c r="X35" s="93">
        <f>MIN(Cockpit!$F$17-W35,Y34)</f>
        <v>5567.6538790308487</v>
      </c>
      <c r="Y35" s="93">
        <f t="shared" si="11"/>
        <v>29961.375668580069</v>
      </c>
      <c r="Z35" s="93">
        <f>AB34*Cockpit!$F$21</f>
        <v>3074.8346652913078</v>
      </c>
      <c r="AA35" s="93">
        <f>MIN(Cockpit!$F$23-Z35,AB34)</f>
        <v>11589.198100918047</v>
      </c>
      <c r="AB35" s="93">
        <f t="shared" si="12"/>
        <v>65281.668531364645</v>
      </c>
      <c r="AC35" s="89">
        <f>IF(A35&gt;Cockpit!$L$21,0,K35)</f>
        <v>0</v>
      </c>
    </row>
    <row r="36" spans="1:29" ht="18" customHeight="1" x14ac:dyDescent="0.3">
      <c r="A36" s="88">
        <v>31</v>
      </c>
      <c r="B36" s="90">
        <f>Cockpit!$I$17*(1+Cockpit!$I$18)^(A36-1)</f>
        <v>38617.058157927357</v>
      </c>
      <c r="C36" s="90">
        <f>IF(Cockpit!$C$33="Ja",Cockpit!$I$22,0)</f>
        <v>561.6</v>
      </c>
      <c r="D36" s="90">
        <f>(Cockpit!$I$25*Cockpit!$I$9+IF(A36&lt;=15,Cockpit!$I$26,IF(A36&lt;=30,Cockpit!$I$27,Cockpit!$I$28))*Cockpit!$I$10+Cockpit!$I$29)*(1+Cockpit!$I$31)^(A36-1)+Cockpit!$I$30*B36</f>
        <v>7253.8249825212715</v>
      </c>
      <c r="E36" s="90">
        <f t="shared" si="0"/>
        <v>3348.3165827016555</v>
      </c>
      <c r="F36" s="90">
        <f t="shared" si="1"/>
        <v>17757.384189409779</v>
      </c>
      <c r="G36" s="90">
        <f t="shared" si="6"/>
        <v>10819.13240329465</v>
      </c>
      <c r="H36" s="90">
        <f t="shared" si="2"/>
        <v>2923.1326633172575</v>
      </c>
      <c r="I36" s="90">
        <f t="shared" si="3"/>
        <v>25091.783929387173</v>
      </c>
      <c r="J36" s="90">
        <f>I36*Cockpit!$F$33</f>
        <v>11118.169459111456</v>
      </c>
      <c r="K36" s="90">
        <f t="shared" si="4"/>
        <v>-299.03705581680515</v>
      </c>
      <c r="L36" s="90">
        <f t="shared" si="7"/>
        <v>64501.370081145476</v>
      </c>
      <c r="M36" s="90">
        <f t="shared" si="5"/>
        <v>77485.660010534935</v>
      </c>
      <c r="N36" s="90">
        <f>MIN(Cockpit!$L$22*(1+Cockpit!$L$23)^A36,Cockpit!$L$26*B36)+Cockpit!$C$36*MAX(0,1-A36/40)</f>
        <v>623865.19095823972</v>
      </c>
      <c r="O36" s="89">
        <f t="shared" si="8"/>
        <v>305486.47939697211</v>
      </c>
      <c r="P36" s="89">
        <f t="shared" si="9"/>
        <v>20000</v>
      </c>
      <c r="Q36" s="89">
        <f>IF(A36&gt;Cockpit!$L$21,0,IF(A36=Cockpit!$L$21,K36+Cockpit!$L$33,K36))</f>
        <v>0</v>
      </c>
      <c r="R36" s="89">
        <f>IF(AND(A36&lt;=Cockpit!$F$42,Cockpit!$F$40="Ja"),Cockpit!$F$41*Cockpit!$F$44,0)</f>
        <v>0</v>
      </c>
      <c r="S36" s="93">
        <f>IF(Cockpit!$F$36="degressiv",MAX(0,MIN(0.05*(Cockpit!$F$37-O35+IF(A36&lt;=Cockpit!$F$42,(A36-1)*R36,0)),Cockpit!$F$37-O35-R36)),IF(OR(Cockpit!$F$40&lt;&gt;"Ja",Cockpit!$F$42&lt;=0,A36&lt;=Cockpit!$F$42),MIN(0.03*Cockpit!$F$37,MAX(0,Cockpit!$F$37-O35-R36)),MIN((Cockpit!$F$37-Cockpit!$F$42*(0.03*Cockpit!$F$37+Cockpit!$F$41*Cockpit!$F$44))/MAX(1,ROUNDDOWN(1/0.03,0)-Cockpit!$F$42),MAX(0,Cockpit!$F$37-O35-R36))))</f>
        <v>2923.1326633172575</v>
      </c>
      <c r="T36" s="89">
        <f>MIN(Cockpit!$F$45*Cockpit!$C$28,MAX(0,Cockpit!$C$28-P35))</f>
        <v>0</v>
      </c>
      <c r="U36" s="93">
        <f>IF(Cockpit!$F$46&gt;0,MIN(Cockpit!$C$24*Cockpit!$F$46,MAX(0,Cockpit!$C$24-V35)),0)</f>
        <v>0</v>
      </c>
      <c r="V36" s="89">
        <f t="shared" si="10"/>
        <v>0</v>
      </c>
      <c r="W36" s="89">
        <f>Y35*Cockpit!$F$15</f>
        <v>737.04984144706975</v>
      </c>
      <c r="X36" s="89">
        <f>MIN(Cockpit!$F$17-W36,Y35)</f>
        <v>5704.6181644550079</v>
      </c>
      <c r="Y36" s="89">
        <f t="shared" si="11"/>
        <v>24256.75750412506</v>
      </c>
      <c r="Z36" s="89">
        <f>AB35*Cockpit!$F$21</f>
        <v>2611.2667412545857</v>
      </c>
      <c r="AA36" s="89">
        <f>MIN(Cockpit!$F$23-Z36,AB35)</f>
        <v>12052.76602495477</v>
      </c>
      <c r="AB36" s="89">
        <f t="shared" si="12"/>
        <v>53228.902506409875</v>
      </c>
      <c r="AC36" s="89">
        <f>IF(A36&gt;Cockpit!$L$21,0,K36)</f>
        <v>0</v>
      </c>
    </row>
    <row r="37" spans="1:29" ht="18" customHeight="1" x14ac:dyDescent="0.3">
      <c r="A37" s="91">
        <v>32</v>
      </c>
      <c r="B37" s="92">
        <f>Cockpit!$I$17*(1+Cockpit!$I$18)^(A37-1)</f>
        <v>39582.484611875545</v>
      </c>
      <c r="C37" s="90">
        <f>IF(Cockpit!$C$33="Ja",Cockpit!$I$22,0)</f>
        <v>561.6</v>
      </c>
      <c r="D37" s="90">
        <f>(Cockpit!$I$25*Cockpit!$I$9+IF(A37&lt;=15,Cockpit!$I$26,IF(A37&lt;=30,Cockpit!$I$27,Cockpit!$I$28))*Cockpit!$I$10+Cockpit!$I$29)*(1+Cockpit!$I$31)^(A37-1)+Cockpit!$I$30*B37</f>
        <v>7435.1706070843056</v>
      </c>
      <c r="E37" s="92">
        <f t="shared" si="0"/>
        <v>2725.8723348578715</v>
      </c>
      <c r="F37" s="92">
        <f t="shared" si="1"/>
        <v>18379.828437253564</v>
      </c>
      <c r="G37" s="90">
        <f t="shared" si="6"/>
        <v>11603.213232679802</v>
      </c>
      <c r="H37" s="92">
        <f t="shared" si="2"/>
        <v>2776.9760301513948</v>
      </c>
      <c r="I37" s="92">
        <f t="shared" si="3"/>
        <v>26644.465639781971</v>
      </c>
      <c r="J37" s="92">
        <f>I37*Cockpit!$F$33</f>
        <v>11806.162724987389</v>
      </c>
      <c r="K37" s="92">
        <f t="shared" si="4"/>
        <v>-202.94949230758721</v>
      </c>
      <c r="L37" s="92">
        <f t="shared" si="7"/>
        <v>64298.420588837893</v>
      </c>
      <c r="M37" s="92">
        <f t="shared" si="5"/>
        <v>59105.831573281379</v>
      </c>
      <c r="N37" s="90">
        <f>MIN(Cockpit!$L$22*(1+Cockpit!$L$23)^A37,Cockpit!$L$26*B37)+Cockpit!$C$36*MAX(0,1-A37/40)</f>
        <v>629732.69786782225</v>
      </c>
      <c r="O37" s="93">
        <f t="shared" si="8"/>
        <v>308263.45542712352</v>
      </c>
      <c r="P37" s="93">
        <f t="shared" si="9"/>
        <v>20000</v>
      </c>
      <c r="Q37" s="89">
        <f>IF(A37&gt;Cockpit!$L$21,0,IF(A37=Cockpit!$L$21,K37+Cockpit!$L$33,K37))</f>
        <v>0</v>
      </c>
      <c r="R37" s="93">
        <f>IF(AND(A37&lt;=Cockpit!$F$42,Cockpit!$F$40="Ja"),Cockpit!$F$41*Cockpit!$F$44,0)</f>
        <v>0</v>
      </c>
      <c r="S37" s="93">
        <f>IF(Cockpit!$F$36="degressiv",MAX(0,MIN(0.05*(Cockpit!$F$37-O36+IF(A37&lt;=Cockpit!$F$42,(A37-1)*R37,0)),Cockpit!$F$37-O36-R37)),IF(OR(Cockpit!$F$40&lt;&gt;"Ja",Cockpit!$F$42&lt;=0,A37&lt;=Cockpit!$F$42),MIN(0.03*Cockpit!$F$37,MAX(0,Cockpit!$F$37-O36-R37)),MIN((Cockpit!$F$37-Cockpit!$F$42*(0.03*Cockpit!$F$37+Cockpit!$F$41*Cockpit!$F$44))/MAX(1,ROUNDDOWN(1/0.03,0)-Cockpit!$F$42),MAX(0,Cockpit!$F$37-O36-R37))))</f>
        <v>2776.9760301513948</v>
      </c>
      <c r="T37" s="93">
        <f>MIN(Cockpit!$F$45*Cockpit!$C$28,MAX(0,Cockpit!$C$28-P36))</f>
        <v>0</v>
      </c>
      <c r="U37" s="93">
        <f>IF(Cockpit!$F$46&gt;0,MIN(Cockpit!$C$24*Cockpit!$F$46,MAX(0,Cockpit!$C$24-V36)),0)</f>
        <v>0</v>
      </c>
      <c r="V37" s="93">
        <f t="shared" si="10"/>
        <v>0</v>
      </c>
      <c r="W37" s="93">
        <f>Y36*Cockpit!$F$15</f>
        <v>596.71623460147646</v>
      </c>
      <c r="X37" s="93">
        <f>MIN(Cockpit!$F$17-W37,Y36)</f>
        <v>5844.9517713006007</v>
      </c>
      <c r="Y37" s="93">
        <f t="shared" si="11"/>
        <v>18411.805732824461</v>
      </c>
      <c r="Z37" s="93">
        <f>AB36*Cockpit!$F$21</f>
        <v>2129.1561002563949</v>
      </c>
      <c r="AA37" s="93">
        <f>MIN(Cockpit!$F$23-Z37,AB36)</f>
        <v>12534.876665952961</v>
      </c>
      <c r="AB37" s="93">
        <f t="shared" si="12"/>
        <v>40694.025840456918</v>
      </c>
      <c r="AC37" s="89">
        <f>IF(A37&gt;Cockpit!$L$21,0,K37)</f>
        <v>0</v>
      </c>
    </row>
    <row r="38" spans="1:29" ht="18" customHeight="1" x14ac:dyDescent="0.3">
      <c r="A38" s="88">
        <v>33</v>
      </c>
      <c r="B38" s="90">
        <f>Cockpit!$I$17*(1+Cockpit!$I$18)^(A38-1)</f>
        <v>40572.046727172426</v>
      </c>
      <c r="C38" s="90">
        <f>IF(Cockpit!$C$33="Ja",Cockpit!$I$22,0)</f>
        <v>561.6</v>
      </c>
      <c r="D38" s="90">
        <f>(Cockpit!$I$25*Cockpit!$I$9+IF(A38&lt;=15,Cockpit!$I$26,IF(A38&lt;=30,Cockpit!$I$27,Cockpit!$I$28))*Cockpit!$I$10+Cockpit!$I$29)*(1+Cockpit!$I$31)^(A38-1)+Cockpit!$I$30*B38</f>
        <v>7621.049872261412</v>
      </c>
      <c r="E38" s="90">
        <f t="shared" si="0"/>
        <v>2080.6914546457583</v>
      </c>
      <c r="F38" s="90">
        <f t="shared" si="1"/>
        <v>19025.009317465672</v>
      </c>
      <c r="G38" s="90">
        <f t="shared" si="6"/>
        <v>12406.89608279958</v>
      </c>
      <c r="H38" s="90">
        <f t="shared" si="2"/>
        <v>2638.1272286438239</v>
      </c>
      <c r="I38" s="90">
        <f t="shared" si="3"/>
        <v>28232.178171621428</v>
      </c>
      <c r="J38" s="90">
        <f>I38*Cockpit!$F$33</f>
        <v>12509.678147845452</v>
      </c>
      <c r="K38" s="90">
        <f t="shared" si="4"/>
        <v>-102.78206504587251</v>
      </c>
      <c r="L38" s="90">
        <f t="shared" si="7"/>
        <v>64195.638523792019</v>
      </c>
      <c r="M38" s="90">
        <f t="shared" si="5"/>
        <v>40080.822255815707</v>
      </c>
      <c r="N38" s="90">
        <f>MIN(Cockpit!$L$22*(1+Cockpit!$L$23)^A38,Cockpit!$L$26*B38)+Cockpit!$C$36*MAX(0,1-A38/40)</f>
        <v>635662.28484650049</v>
      </c>
      <c r="O38" s="89">
        <f t="shared" si="8"/>
        <v>310901.58265576733</v>
      </c>
      <c r="P38" s="89">
        <f t="shared" si="9"/>
        <v>20000</v>
      </c>
      <c r="Q38" s="89">
        <f>IF(A38&gt;Cockpit!$L$21,0,IF(A38=Cockpit!$L$21,K38+Cockpit!$L$33,K38))</f>
        <v>0</v>
      </c>
      <c r="R38" s="89">
        <f>IF(AND(A38&lt;=Cockpit!$F$42,Cockpit!$F$40="Ja"),Cockpit!$F$41*Cockpit!$F$44,0)</f>
        <v>0</v>
      </c>
      <c r="S38" s="93">
        <f>IF(Cockpit!$F$36="degressiv",MAX(0,MIN(0.05*(Cockpit!$F$37-O37+IF(A38&lt;=Cockpit!$F$42,(A38-1)*R38,0)),Cockpit!$F$37-O37-R38)),IF(OR(Cockpit!$F$40&lt;&gt;"Ja",Cockpit!$F$42&lt;=0,A38&lt;=Cockpit!$F$42),MIN(0.03*Cockpit!$F$37,MAX(0,Cockpit!$F$37-O37-R38)),MIN((Cockpit!$F$37-Cockpit!$F$42*(0.03*Cockpit!$F$37+Cockpit!$F$41*Cockpit!$F$44))/MAX(1,ROUNDDOWN(1/0.03,0)-Cockpit!$F$42),MAX(0,Cockpit!$F$37-O37-R38))))</f>
        <v>2638.1272286438239</v>
      </c>
      <c r="T38" s="89">
        <f>MIN(Cockpit!$F$45*Cockpit!$C$28,MAX(0,Cockpit!$C$28-P37))</f>
        <v>0</v>
      </c>
      <c r="U38" s="93">
        <f>IF(Cockpit!$F$46&gt;0,MIN(Cockpit!$C$24*Cockpit!$F$46,MAX(0,Cockpit!$C$24-V37)),0)</f>
        <v>0</v>
      </c>
      <c r="V38" s="89">
        <f t="shared" si="10"/>
        <v>0</v>
      </c>
      <c r="W38" s="89">
        <f>Y37*Cockpit!$F$15</f>
        <v>452.93042102748177</v>
      </c>
      <c r="X38" s="89">
        <f>MIN(Cockpit!$F$17-W38,Y37)</f>
        <v>5988.737584874596</v>
      </c>
      <c r="Y38" s="89">
        <f t="shared" si="11"/>
        <v>12423.068147949865</v>
      </c>
      <c r="Z38" s="89">
        <f>AB37*Cockpit!$F$21</f>
        <v>1627.7610336182768</v>
      </c>
      <c r="AA38" s="89">
        <f>MIN(Cockpit!$F$23-Z38,AB37)</f>
        <v>13036.271732591078</v>
      </c>
      <c r="AB38" s="89">
        <f t="shared" si="12"/>
        <v>27657.75410786584</v>
      </c>
      <c r="AC38" s="89">
        <f>IF(A38&gt;Cockpit!$L$21,0,K38)</f>
        <v>0</v>
      </c>
    </row>
    <row r="39" spans="1:29" ht="18" customHeight="1" x14ac:dyDescent="0.3">
      <c r="A39" s="91">
        <v>34</v>
      </c>
      <c r="B39" s="92">
        <f>Cockpit!$I$17*(1+Cockpit!$I$18)^(A39-1)</f>
        <v>41586.347895351733</v>
      </c>
      <c r="C39" s="90">
        <f>IF(Cockpit!$C$33="Ja",Cockpit!$I$22,0)</f>
        <v>561.6</v>
      </c>
      <c r="D39" s="90">
        <f>(Cockpit!$I$25*Cockpit!$I$9+IF(A39&lt;=15,Cockpit!$I$26,IF(A39&lt;=30,Cockpit!$I$27,Cockpit!$I$28))*Cockpit!$I$10+Cockpit!$I$29)*(1+Cockpit!$I$31)^(A39-1)+Cockpit!$I$30*B39</f>
        <v>7811.5761190679468</v>
      </c>
      <c r="E39" s="92">
        <f t="shared" si="0"/>
        <v>1411.9176407542002</v>
      </c>
      <c r="F39" s="92">
        <f t="shared" si="1"/>
        <v>19693.783131357231</v>
      </c>
      <c r="G39" s="90">
        <f t="shared" si="6"/>
        <v>13230.671004172349</v>
      </c>
      <c r="H39" s="92">
        <f t="shared" si="2"/>
        <v>2506.220867211634</v>
      </c>
      <c r="I39" s="92">
        <f t="shared" si="3"/>
        <v>29856.63326831795</v>
      </c>
      <c r="J39" s="92">
        <f>I39*Cockpit!$F$33</f>
        <v>13229.474201191682</v>
      </c>
      <c r="K39" s="92">
        <f t="shared" si="4"/>
        <v>1.1968029806666891</v>
      </c>
      <c r="L39" s="92">
        <f t="shared" si="7"/>
        <v>64196.835326772685</v>
      </c>
      <c r="M39" s="92">
        <f t="shared" si="5"/>
        <v>20387.039124458472</v>
      </c>
      <c r="N39" s="90">
        <f>MIN(Cockpit!$L$22*(1+Cockpit!$L$23)^A39,Cockpit!$L$26*B39)+Cockpit!$C$36*MAX(0,1-A39/40)</f>
        <v>641654.57269496552</v>
      </c>
      <c r="O39" s="93">
        <f t="shared" si="8"/>
        <v>313407.80352297897</v>
      </c>
      <c r="P39" s="93">
        <f t="shared" si="9"/>
        <v>20000</v>
      </c>
      <c r="Q39" s="89">
        <f>IF(A39&gt;Cockpit!$L$21,0,IF(A39=Cockpit!$L$21,K39+Cockpit!$L$33,K39))</f>
        <v>0</v>
      </c>
      <c r="R39" s="93">
        <f>IF(AND(A39&lt;=Cockpit!$F$42,Cockpit!$F$40="Ja"),Cockpit!$F$41*Cockpit!$F$44,0)</f>
        <v>0</v>
      </c>
      <c r="S39" s="93">
        <f>IF(Cockpit!$F$36="degressiv",MAX(0,MIN(0.05*(Cockpit!$F$37-O38+IF(A39&lt;=Cockpit!$F$42,(A39-1)*R39,0)),Cockpit!$F$37-O38-R39)),IF(OR(Cockpit!$F$40&lt;&gt;"Ja",Cockpit!$F$42&lt;=0,A39&lt;=Cockpit!$F$42),MIN(0.03*Cockpit!$F$37,MAX(0,Cockpit!$F$37-O38-R39)),MIN((Cockpit!$F$37-Cockpit!$F$42*(0.03*Cockpit!$F$37+Cockpit!$F$41*Cockpit!$F$44))/MAX(1,ROUNDDOWN(1/0.03,0)-Cockpit!$F$42),MAX(0,Cockpit!$F$37-O38-R39))))</f>
        <v>2506.220867211634</v>
      </c>
      <c r="T39" s="93">
        <f>MIN(Cockpit!$F$45*Cockpit!$C$28,MAX(0,Cockpit!$C$28-P38))</f>
        <v>0</v>
      </c>
      <c r="U39" s="93">
        <f>IF(Cockpit!$F$46&gt;0,MIN(Cockpit!$C$24*Cockpit!$F$46,MAX(0,Cockpit!$C$24-V38)),0)</f>
        <v>0</v>
      </c>
      <c r="V39" s="93">
        <f t="shared" si="10"/>
        <v>0</v>
      </c>
      <c r="W39" s="93">
        <f>Y38*Cockpit!$F$15</f>
        <v>305.60747643956671</v>
      </c>
      <c r="X39" s="93">
        <f>MIN(Cockpit!$F$17-W39,Y38)</f>
        <v>6136.0605294625102</v>
      </c>
      <c r="Y39" s="93">
        <f t="shared" si="11"/>
        <v>6287.0076184873551</v>
      </c>
      <c r="Z39" s="93">
        <f>AB38*Cockpit!$F$21</f>
        <v>1106.3101643146335</v>
      </c>
      <c r="AA39" s="93">
        <f>MIN(Cockpit!$F$23-Z39,AB38)</f>
        <v>13557.722601894722</v>
      </c>
      <c r="AB39" s="93">
        <f t="shared" si="12"/>
        <v>14100.031505971117</v>
      </c>
      <c r="AC39" s="89">
        <f>IF(A39&gt;Cockpit!$L$21,0,K39)</f>
        <v>0</v>
      </c>
    </row>
    <row r="40" spans="1:29" ht="18" customHeight="1" x14ac:dyDescent="0.3">
      <c r="A40" s="88">
        <v>35</v>
      </c>
      <c r="B40" s="90">
        <f>Cockpit!$I$17*(1+Cockpit!$I$18)^(A40-1)</f>
        <v>42626.006592735532</v>
      </c>
      <c r="C40" s="90">
        <f>IF(Cockpit!$C$33="Ja",Cockpit!$I$22,0)</f>
        <v>561.6</v>
      </c>
      <c r="D40" s="90">
        <f>(Cockpit!$I$25*Cockpit!$I$9+IF(A40&lt;=15,Cockpit!$I$26,IF(A40&lt;=30,Cockpit!$I$27,Cockpit!$I$28))*Cockpit!$I$10+Cockpit!$I$29)*(1+Cockpit!$I$31)^(A40-1)+Cockpit!$I$30*B40</f>
        <v>8006.8655220446453</v>
      </c>
      <c r="E40" s="90">
        <f t="shared" si="0"/>
        <v>718.66164765363362</v>
      </c>
      <c r="F40" s="90">
        <f t="shared" si="1"/>
        <v>20387.039124457799</v>
      </c>
      <c r="G40" s="90">
        <f t="shared" si="6"/>
        <v>14075.04029857945</v>
      </c>
      <c r="H40" s="90">
        <f t="shared" si="2"/>
        <v>2380.9098238510519</v>
      </c>
      <c r="I40" s="90">
        <f t="shared" si="3"/>
        <v>31519.569599186198</v>
      </c>
      <c r="J40" s="90">
        <f>I40*Cockpit!$F$33</f>
        <v>13966.321289399402</v>
      </c>
      <c r="K40" s="90">
        <f t="shared" si="4"/>
        <v>108.71900918004758</v>
      </c>
      <c r="L40" s="90">
        <f t="shared" si="7"/>
        <v>64305.554335952736</v>
      </c>
      <c r="M40" s="90">
        <f t="shared" si="5"/>
        <v>6.7393557401373982E-10</v>
      </c>
      <c r="N40" s="90">
        <f>MIN(Cockpit!$L$22*(1+Cockpit!$L$23)^A40,Cockpit!$L$26*B40)+Cockpit!$C$36*MAX(0,1-A40/40)</f>
        <v>647710.18842191505</v>
      </c>
      <c r="O40" s="89">
        <f t="shared" si="8"/>
        <v>315788.71334683005</v>
      </c>
      <c r="P40" s="89">
        <f t="shared" si="9"/>
        <v>20000</v>
      </c>
      <c r="Q40" s="89">
        <f>IF(A40&gt;Cockpit!$L$21,0,IF(A40=Cockpit!$L$21,K40+Cockpit!$L$33,K40))</f>
        <v>0</v>
      </c>
      <c r="R40" s="89">
        <f>IF(AND(A40&lt;=Cockpit!$F$42,Cockpit!$F$40="Ja"),Cockpit!$F$41*Cockpit!$F$44,0)</f>
        <v>0</v>
      </c>
      <c r="S40" s="93">
        <f>IF(Cockpit!$F$36="degressiv",MAX(0,MIN(0.05*(Cockpit!$F$37-O39+IF(A40&lt;=Cockpit!$F$42,(A40-1)*R40,0)),Cockpit!$F$37-O39-R40)),IF(OR(Cockpit!$F$40&lt;&gt;"Ja",Cockpit!$F$42&lt;=0,A40&lt;=Cockpit!$F$42),MIN(0.03*Cockpit!$F$37,MAX(0,Cockpit!$F$37-O39-R40)),MIN((Cockpit!$F$37-Cockpit!$F$42*(0.03*Cockpit!$F$37+Cockpit!$F$41*Cockpit!$F$44))/MAX(1,ROUNDDOWN(1/0.03,0)-Cockpit!$F$42),MAX(0,Cockpit!$F$37-O39-R40))))</f>
        <v>2380.9098238510519</v>
      </c>
      <c r="T40" s="89">
        <f>MIN(Cockpit!$F$45*Cockpit!$C$28,MAX(0,Cockpit!$C$28-P39))</f>
        <v>0</v>
      </c>
      <c r="U40" s="93">
        <f>IF(Cockpit!$F$46&gt;0,MIN(Cockpit!$C$24*Cockpit!$F$46,MAX(0,Cockpit!$C$24-V39)),0)</f>
        <v>0</v>
      </c>
      <c r="V40" s="89">
        <f t="shared" si="10"/>
        <v>0</v>
      </c>
      <c r="W40" s="89">
        <f>Y39*Cockpit!$F$15</f>
        <v>154.66038741478894</v>
      </c>
      <c r="X40" s="89">
        <f>MIN(Cockpit!$F$17-W40,Y39)</f>
        <v>6287.0076184872887</v>
      </c>
      <c r="Y40" s="89">
        <f t="shared" si="11"/>
        <v>6.6393113229423761E-11</v>
      </c>
      <c r="Z40" s="89">
        <f>AB39*Cockpit!$F$21</f>
        <v>564.00126023884468</v>
      </c>
      <c r="AA40" s="89">
        <f>MIN(Cockpit!$F$23-Z40,AB39)</f>
        <v>14100.03150597051</v>
      </c>
      <c r="AB40" s="89">
        <f t="shared" si="12"/>
        <v>6.0754246078431606E-10</v>
      </c>
      <c r="AC40" s="89">
        <f>IF(A40&gt;Cockpit!$L$21,0,K40)</f>
        <v>0</v>
      </c>
    </row>
  </sheetData>
  <sheetProtection algorithmName="SHA-512" hashValue="jDYd9adDSp+eWtxHXblXH9ThLbHFChdusoT+7BC9hFD9LkPFcMKzvRj26ax+Z4/8SeAG+OPdZLCodaqUaJIceQ==" saltValue="RzdkEuIa+DkB2m4Tjmu0Tg==" spinCount="100000" sheet="1" objects="1" scenarios="1"/>
  <mergeCells count="1">
    <mergeCell ref="O3:AB3"/>
  </mergeCells>
  <hyperlinks>
    <hyperlink ref="B2" location="Cockpit!A1" tooltip="Zurueck zum Cockpit" display="← zurück zum Cockpit" xr:uid="{D1BFB2DC-6261-42A7-B9B5-E1C89BB33BB0}"/>
  </hyperlinks>
  <pageMargins left="0.2" right="0.2" top="0.35" bottom="0.35" header="0.5" footer="0.5"/>
  <pageSetup scale="3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D18"/>
  <sheetViews>
    <sheetView workbookViewId="0">
      <selection activeCell="A1" sqref="A1"/>
    </sheetView>
  </sheetViews>
  <sheetFormatPr baseColWidth="10" defaultColWidth="11.5546875" defaultRowHeight="14.4" x14ac:dyDescent="0.3"/>
  <cols>
    <col min="1" max="1" width="11.5546875" style="1" customWidth="1"/>
    <col min="2" max="2" width="38.5546875" style="1" customWidth="1"/>
    <col min="3" max="4" width="15.21875" style="1" customWidth="1"/>
    <col min="5" max="18" width="11.5546875" style="1" customWidth="1"/>
    <col min="19" max="16384" width="11.5546875" style="1"/>
  </cols>
  <sheetData>
    <row r="1" spans="2:4" ht="16.05" customHeight="1" x14ac:dyDescent="0.3">
      <c r="B1" s="85" t="s">
        <v>109</v>
      </c>
    </row>
    <row r="2" spans="2:4" ht="16.05" customHeight="1" x14ac:dyDescent="0.3"/>
    <row r="3" spans="2:4" ht="40.049999999999997" customHeight="1" x14ac:dyDescent="0.5">
      <c r="B3" s="81" t="s">
        <v>110</v>
      </c>
    </row>
    <row r="4" spans="2:4" ht="16.05" customHeight="1" x14ac:dyDescent="0.3">
      <c r="B4" s="120" t="s">
        <v>187</v>
      </c>
    </row>
    <row r="5" spans="2:4" ht="16.05" customHeight="1" thickBot="1" x14ac:dyDescent="0.35">
      <c r="B5" s="99" t="s">
        <v>111</v>
      </c>
      <c r="C5" s="99"/>
      <c r="D5" s="99"/>
    </row>
    <row r="6" spans="2:4" ht="16.05" customHeight="1" x14ac:dyDescent="0.3">
      <c r="B6" s="100" t="s">
        <v>112</v>
      </c>
      <c r="C6" s="100" t="s">
        <v>113</v>
      </c>
      <c r="D6" s="100" t="s">
        <v>114</v>
      </c>
    </row>
    <row r="7" spans="2:4" ht="16.05" customHeight="1" x14ac:dyDescent="0.3">
      <c r="B7" s="111" t="s">
        <v>182</v>
      </c>
      <c r="C7" s="112"/>
      <c r="D7" s="113"/>
    </row>
    <row r="8" spans="2:4" ht="16.05" customHeight="1" x14ac:dyDescent="0.3">
      <c r="B8" s="116" t="s">
        <v>183</v>
      </c>
      <c r="C8" s="114">
        <v>1</v>
      </c>
      <c r="D8" s="115">
        <v>0</v>
      </c>
    </row>
    <row r="9" spans="2:4" ht="16.05" customHeight="1" x14ac:dyDescent="0.3">
      <c r="B9" s="116" t="s">
        <v>184</v>
      </c>
      <c r="C9" s="86">
        <v>0.12</v>
      </c>
      <c r="D9" s="87">
        <v>0.09</v>
      </c>
    </row>
    <row r="10" spans="2:4" ht="16.05" customHeight="1" x14ac:dyDescent="0.3">
      <c r="B10" s="116" t="s">
        <v>185</v>
      </c>
      <c r="C10" s="86">
        <v>0.12</v>
      </c>
      <c r="D10" s="87">
        <v>0.09</v>
      </c>
    </row>
    <row r="11" spans="2:4" ht="16.05" customHeight="1" x14ac:dyDescent="0.3">
      <c r="B11" s="116"/>
      <c r="C11" s="117"/>
      <c r="D11" s="117"/>
    </row>
    <row r="12" spans="2:4" s="63" customFormat="1" ht="7.95" hidden="1" customHeight="1" x14ac:dyDescent="0.3"/>
    <row r="13" spans="2:4" s="63" customFormat="1" ht="7.95" hidden="1" customHeight="1" x14ac:dyDescent="0.3"/>
    <row r="14" spans="2:4" ht="15.6" hidden="1" x14ac:dyDescent="0.3">
      <c r="B14" s="82" t="s">
        <v>162</v>
      </c>
    </row>
    <row r="15" spans="2:4" ht="15.6" hidden="1" x14ac:dyDescent="0.3">
      <c r="B15" s="83" t="s">
        <v>163</v>
      </c>
      <c r="C15" s="84" t="s">
        <v>58</v>
      </c>
    </row>
    <row r="16" spans="2:4" ht="15.6" hidden="1" x14ac:dyDescent="0.3">
      <c r="C16" s="84" t="s">
        <v>164</v>
      </c>
    </row>
    <row r="17" spans="2:3" ht="15.6" hidden="1" x14ac:dyDescent="0.3">
      <c r="B17" s="83" t="s">
        <v>165</v>
      </c>
      <c r="C17" s="84" t="s">
        <v>67</v>
      </c>
    </row>
    <row r="18" spans="2:3" ht="15.6" hidden="1" x14ac:dyDescent="0.3">
      <c r="C18" s="84" t="s">
        <v>166</v>
      </c>
    </row>
  </sheetData>
  <sheetProtection algorithmName="SHA-512" hashValue="+SyUm2ZAgCbwCJJv0q8E2l6lkcyAozYGu1gzLBV8p0gn+XU9iXBx9psta43OUNZIoRlKSltIKr90ig6SihWepQ==" saltValue="83p4sxtoCszw/ASpqn+XIQ==" spinCount="100000" sheet="1" objects="1" scenarios="1"/>
  <hyperlinks>
    <hyperlink ref="B1" location="Cockpit!A1" display="← zurueck zum Cockpit" xr:uid="{00000000-0004-0000-0500-000000000000}"/>
  </hyperlink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Rechtliches</vt:lpstr>
      <vt:lpstr>Start</vt:lpstr>
      <vt:lpstr>Cockpit</vt:lpstr>
      <vt:lpstr>Report</vt:lpstr>
      <vt:lpstr>Jahresverlauf</vt:lpstr>
      <vt:lpstr>Konfiguration</vt:lpstr>
      <vt:lpstr>Cockpit!Druckbereich</vt:lpstr>
      <vt:lpstr>Jahresverlauf!Druckbereich</vt:lpstr>
      <vt:lpstr>Konfiguration!Druckbereich</vt:lpstr>
      <vt:lpstr>Rechtliches!Druckbereich</vt:lpstr>
      <vt:lpstr>Report!Druckbereich</vt:lpstr>
      <vt:lpstr>Start!Druckbereich</vt:lpstr>
      <vt:lpstr>Jahresverlauf!Drucktitel</vt:lpstr>
      <vt:lpstr>Liste_AfaMethode</vt:lpstr>
      <vt:lpstr>Liste_JaNein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Duc immocation</cp:lastModifiedBy>
  <cp:lastPrinted>2026-08-25T11:21:59Z</cp:lastPrinted>
  <dcterms:created xsi:type="dcterms:W3CDTF">2026-07-24T13:48:55Z</dcterms:created>
  <dcterms:modified xsi:type="dcterms:W3CDTF">2026-09-14T09:04:37Z</dcterms:modified>
</cp:coreProperties>
</file>